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le\Desktop\"/>
    </mc:Choice>
  </mc:AlternateContent>
  <xr:revisionPtr revIDLastSave="0" documentId="13_ncr:1_{17C474D3-FB47-4A61-AC33-ACF460A57FF9}" xr6:coauthVersionLast="36" xr6:coauthVersionMax="36" xr10:uidLastSave="{00000000-0000-0000-0000-000000000000}"/>
  <bookViews>
    <workbookView xWindow="0" yWindow="0" windowWidth="20004" windowHeight="7980" xr2:uid="{00000000-000D-0000-FFFF-FFFF00000000}"/>
  </bookViews>
  <sheets>
    <sheet name="Summary" sheetId="1" r:id="rId1"/>
    <sheet name="Assumptions" sheetId="2" r:id="rId2"/>
    <sheet name="IRR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8" i="1"/>
  <c r="B10" i="1"/>
  <c r="B13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B4" i="3"/>
  <c r="F4" i="3"/>
  <c r="D4" i="3"/>
  <c r="B5" i="3"/>
  <c r="B12" i="1"/>
  <c r="B14" i="1"/>
  <c r="B16" i="1"/>
  <c r="F3" i="3"/>
  <c r="B21" i="1"/>
  <c r="E4" i="3"/>
  <c r="B6" i="3"/>
  <c r="F5" i="3"/>
  <c r="D5" i="3"/>
  <c r="D6" i="3"/>
  <c r="B7" i="3"/>
  <c r="F6" i="3"/>
  <c r="E5" i="3"/>
  <c r="E6" i="3"/>
  <c r="B8" i="3"/>
  <c r="D7" i="3"/>
  <c r="F7" i="3"/>
  <c r="F8" i="3"/>
  <c r="D8" i="3"/>
  <c r="B9" i="3"/>
  <c r="E7" i="3"/>
  <c r="B10" i="3"/>
  <c r="F9" i="3"/>
  <c r="D9" i="3"/>
  <c r="E8" i="3"/>
  <c r="D10" i="3"/>
  <c r="E10" i="3"/>
  <c r="B11" i="3"/>
  <c r="F10" i="3"/>
  <c r="E9" i="3"/>
  <c r="B12" i="3"/>
  <c r="D11" i="3"/>
  <c r="F11" i="3"/>
  <c r="F12" i="3"/>
  <c r="D12" i="3"/>
  <c r="E12" i="3"/>
  <c r="B13" i="3"/>
  <c r="E11" i="3"/>
  <c r="D13" i="3"/>
  <c r="E13" i="3"/>
  <c r="F13" i="3"/>
  <c r="G13" i="3"/>
  <c r="B14" i="3"/>
  <c r="D14" i="3"/>
  <c r="E14" i="3"/>
  <c r="B15" i="3"/>
  <c r="F14" i="3"/>
  <c r="M13" i="3"/>
  <c r="I13" i="3"/>
  <c r="L13" i="3"/>
  <c r="H13" i="3"/>
  <c r="K13" i="3"/>
  <c r="J13" i="3"/>
  <c r="B16" i="3"/>
  <c r="D15" i="3"/>
  <c r="E15" i="3"/>
  <c r="F15" i="3"/>
  <c r="F16" i="3"/>
  <c r="D16" i="3"/>
  <c r="E16" i="3"/>
  <c r="B17" i="3"/>
  <c r="D17" i="3"/>
  <c r="E17" i="3"/>
  <c r="F17" i="3"/>
  <c r="B18" i="3"/>
  <c r="D18" i="3"/>
  <c r="E18" i="3"/>
  <c r="B19" i="3"/>
  <c r="F18" i="3"/>
  <c r="G18" i="3"/>
  <c r="M18" i="3"/>
  <c r="I18" i="3"/>
  <c r="L18" i="3"/>
  <c r="H18" i="3"/>
  <c r="K18" i="3"/>
  <c r="J18" i="3"/>
  <c r="B20" i="3"/>
  <c r="D19" i="3"/>
  <c r="E19" i="3"/>
  <c r="F19" i="3"/>
  <c r="F20" i="3"/>
  <c r="D20" i="3"/>
  <c r="E20" i="3"/>
  <c r="B21" i="3"/>
  <c r="D21" i="3"/>
  <c r="E21" i="3"/>
  <c r="F21" i="3"/>
  <c r="B22" i="3"/>
  <c r="D22" i="3"/>
  <c r="E22" i="3"/>
  <c r="B23" i="3"/>
  <c r="F22" i="3"/>
  <c r="B24" i="3"/>
  <c r="D23" i="3"/>
  <c r="E23" i="3"/>
  <c r="F23" i="3"/>
  <c r="G23" i="3"/>
  <c r="F24" i="3"/>
  <c r="D24" i="3"/>
  <c r="E24" i="3"/>
  <c r="B25" i="3"/>
  <c r="J23" i="3"/>
  <c r="M23" i="3"/>
  <c r="H23" i="3"/>
  <c r="I23" i="3"/>
  <c r="B19" i="1"/>
  <c r="L23" i="3"/>
  <c r="B18" i="1"/>
  <c r="K23" i="3"/>
  <c r="D25" i="3"/>
  <c r="E25" i="3"/>
  <c r="F25" i="3"/>
  <c r="B26" i="3"/>
  <c r="D26" i="3"/>
  <c r="E26" i="3"/>
  <c r="B27" i="3"/>
  <c r="F26" i="3"/>
  <c r="B28" i="3"/>
  <c r="D27" i="3"/>
  <c r="E27" i="3"/>
  <c r="F27" i="3"/>
  <c r="F28" i="3"/>
  <c r="D28" i="3"/>
  <c r="E28" i="3"/>
  <c r="E29" i="3"/>
  <c r="E30" i="3"/>
  <c r="G28" i="3"/>
  <c r="F29" i="3"/>
  <c r="L28" i="3"/>
  <c r="H28" i="3"/>
  <c r="K28" i="3"/>
  <c r="J28" i="3"/>
  <c r="M28" i="3"/>
  <c r="I28" i="3"/>
</calcChain>
</file>

<file path=xl/sharedStrings.xml><?xml version="1.0" encoding="utf-8"?>
<sst xmlns="http://schemas.openxmlformats.org/spreadsheetml/2006/main" count="81" uniqueCount="80">
  <si>
    <t>Solar KW to offset full usage</t>
  </si>
  <si>
    <t>Total Installation Cost</t>
  </si>
  <si>
    <t>Less federal tax credit (30%)</t>
  </si>
  <si>
    <t>Total Incentives</t>
  </si>
  <si>
    <t>Total after incentives</t>
  </si>
  <si>
    <t>Payback period (years)</t>
  </si>
  <si>
    <t>20 year annualized return</t>
  </si>
  <si>
    <t>Estimated annual electric usage (kWh)</t>
  </si>
  <si>
    <t>Less Focus on Energy grant (12%, $2000 max)</t>
  </si>
  <si>
    <t>Tax Equivalent Yields</t>
  </si>
  <si>
    <t>IRR</t>
  </si>
  <si>
    <t>IRR ending</t>
  </si>
  <si>
    <t>Production (KWh)</t>
  </si>
  <si>
    <t>Elecrtic Rate</t>
  </si>
  <si>
    <t>Production ($)</t>
  </si>
  <si>
    <t>cumulative</t>
  </si>
  <si>
    <t>Profit on orginial investment</t>
  </si>
  <si>
    <t>Internal Rate of Return</t>
  </si>
  <si>
    <t>total return on investment</t>
  </si>
  <si>
    <t>Production degredation/year</t>
  </si>
  <si>
    <t>Escalation of energy costs/year</t>
  </si>
  <si>
    <r>
      <t>Estimated ft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needed for modules</t>
    </r>
  </si>
  <si>
    <t>Potential add-on costs:</t>
  </si>
  <si>
    <t>Trenching &amp; wire (for ground mount or remote system)</t>
  </si>
  <si>
    <t>Battery ready inverter</t>
  </si>
  <si>
    <t>Installation on Madeline Island</t>
  </si>
  <si>
    <t>Battery storage</t>
  </si>
  <si>
    <t>Extended warranty</t>
  </si>
  <si>
    <t>Tall or unique roof systems</t>
  </si>
  <si>
    <t>Small systems surcharge (estimated &lt;4kW)</t>
  </si>
  <si>
    <t>*Based on PVWatts.nrel.gov for our location (Duluth)</t>
  </si>
  <si>
    <t>Average electricity rate</t>
  </si>
  <si>
    <t>Sq footage/kW needed for installation</t>
  </si>
  <si>
    <t>Assumptions</t>
  </si>
  <si>
    <t>or</t>
  </si>
  <si>
    <t>Capacity (kW) = kWh/(365*24*SCF)</t>
  </si>
  <si>
    <t>Solar Capacity Factor(SCF) = kWh/(365*24*Capacity in kW)</t>
  </si>
  <si>
    <t>Formulas:</t>
  </si>
  <si>
    <t xml:space="preserve">Description: Assume roof mount. Ground mount also possible with added costs. </t>
  </si>
  <si>
    <t>Name</t>
  </si>
  <si>
    <t>Address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</si>
  <si>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</si>
  <si>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</si>
  <si>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</si>
  <si>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</si>
  <si>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</si>
  <si>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</si>
  <si>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</si>
  <si>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</si>
  <si>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9th year</t>
  </si>
  <si>
    <t>10th year</t>
  </si>
  <si>
    <t>11th year</t>
  </si>
  <si>
    <t>12th year</t>
  </si>
  <si>
    <t>13th year</t>
  </si>
  <si>
    <t>14th year</t>
  </si>
  <si>
    <t>15th year</t>
  </si>
  <si>
    <t>16th year</t>
  </si>
  <si>
    <t>17th year</t>
  </si>
  <si>
    <t>18th year</t>
  </si>
  <si>
    <t>19th year</t>
  </si>
  <si>
    <t>20th year</t>
  </si>
  <si>
    <t>21st year</t>
  </si>
  <si>
    <t>22nd year</t>
  </si>
  <si>
    <t>23rd year</t>
  </si>
  <si>
    <t>24th year</t>
  </si>
  <si>
    <t>25th year</t>
  </si>
  <si>
    <t>Solar capacity factor</t>
  </si>
  <si>
    <t>kWh = Capacity (kW)*365*24*SCF</t>
  </si>
  <si>
    <t>20 year tax equivalent yield at 25% tax bracket</t>
  </si>
  <si>
    <t>Ground or pole mount structure</t>
  </si>
  <si>
    <t>Instructions</t>
  </si>
  <si>
    <t>Estimated add-on costs</t>
  </si>
  <si>
    <t>Racking for roof (to change the angle of modules if needed)</t>
  </si>
  <si>
    <t>Estimated installion cost per watt</t>
  </si>
  <si>
    <t>Less community solar (kW)</t>
  </si>
  <si>
    <t>Estimated installed baseline cost</t>
  </si>
  <si>
    <t>~Fill in cells with blue shading on Summary and Assumptions Sheets</t>
  </si>
  <si>
    <t>~Installation cost on the Assumptions Sheet was $2.50/watt for our 2018 Group Buy</t>
  </si>
  <si>
    <t>~You can use this as the baseline cost or get an estimate from a local PV installer</t>
  </si>
  <si>
    <t>~The payback in years is determined on the IRR Sheet by comparing cell F3 to column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</si>
</sst>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0.0"/>
    <numFmt numFmtId="166" formatCode="&quot;$&quot;#,##0.00"/>
    <numFmt numFmtId="167" formatCode="&quot;$&quot;#,##0.000"/>
    <numFmt numFmtId="168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/>
    <xf numFmtId="0" fontId="0" fillId="2" borderId="0" xfId="0" applyFill="1"/>
    <xf numFmtId="10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3" borderId="0" xfId="0" applyFill="1"/>
    <xf numFmtId="0" fontId="2" fillId="3" borderId="0" xfId="0" applyFont="1" applyFill="1"/>
    <xf numFmtId="10" fontId="0" fillId="3" borderId="0" xfId="0" applyNumberFormat="1" applyFill="1" applyAlignment="1">
      <alignment horizontal="center"/>
    </xf>
    <xf numFmtId="0" fontId="0" fillId="0" borderId="0" xfId="0" applyFill="1"/>
    <xf numFmtId="0" fontId="1" fillId="0" borderId="4" xfId="0" applyFont="1" applyBorder="1"/>
    <xf numFmtId="0" fontId="6" fillId="0" borderId="0" xfId="2" applyAlignment="1"/>
    <xf numFmtId="166" fontId="0" fillId="0" borderId="0" xfId="0" applyNumberFormat="1"/>
    <xf numFmtId="167" fontId="0" fillId="2" borderId="0" xfId="0" applyNumberFormat="1" applyFill="1"/>
    <xf numFmtId="9" fontId="0" fillId="2" borderId="0" xfId="0" applyNumberFormat="1" applyFill="1"/>
    <xf numFmtId="168" fontId="0" fillId="2" borderId="0" xfId="0" applyNumberFormat="1" applyFill="1"/>
    <xf numFmtId="0" fontId="0" fillId="0" borderId="0" xfId="0" applyFont="1"/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2" fillId="3" borderId="2" xfId="0" applyNumberFormat="1" applyFont="1" applyFill="1" applyBorder="1" applyAlignment="1" applyProtection="1">
      <alignment horizontal="center"/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10" fontId="2" fillId="3" borderId="0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9" fontId="0" fillId="0" borderId="1" xfId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67" fontId="0" fillId="0" borderId="1" xfId="0" applyNumberFormat="1" applyFill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4" fillId="0" borderId="1" xfId="1" applyNumberFormat="1" applyFont="1" applyFill="1" applyBorder="1" applyAlignment="1" applyProtection="1">
      <alignment horizontal="center"/>
      <protection locked="0"/>
    </xf>
    <xf numFmtId="10" fontId="2" fillId="4" borderId="1" xfId="0" applyNumberFormat="1" applyFont="1" applyFill="1" applyBorder="1" applyProtection="1">
      <protection locked="0"/>
    </xf>
    <xf numFmtId="10" fontId="4" fillId="4" borderId="1" xfId="1" applyNumberFormat="1" applyFont="1" applyFill="1" applyBorder="1" applyAlignment="1" applyProtection="1">
      <alignment horizontal="center"/>
      <protection locked="0"/>
    </xf>
    <xf numFmtId="10" fontId="2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10" fontId="0" fillId="0" borderId="1" xfId="0" applyNumberFormat="1" applyBorder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5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/>
    <xf numFmtId="164" fontId="1" fillId="0" borderId="4" xfId="0" applyNumberFormat="1" applyFont="1" applyBorder="1" applyProtection="1"/>
    <xf numFmtId="10" fontId="0" fillId="0" borderId="0" xfId="0" applyNumberFormat="1" applyProtection="1"/>
    <xf numFmtId="1" fontId="1" fillId="0" borderId="0" xfId="0" applyNumberFormat="1" applyFo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.google.com/?q=73150+Bjork+Rd,+Washburn&amp;entry=gmail&amp;source=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B5" sqref="B5"/>
    </sheetView>
  </sheetViews>
  <sheetFormatPr defaultRowHeight="14.4" x14ac:dyDescent="0.3"/>
  <cols>
    <col min="1" max="1" width="41.44140625" customWidth="1"/>
    <col min="6" max="6" width="71.33203125" customWidth="1"/>
  </cols>
  <sheetData>
    <row r="1" spans="1:7" x14ac:dyDescent="0.3">
      <c r="A1" s="3" t="s">
        <v>39</v>
      </c>
      <c r="F1" s="3" t="s">
        <v>70</v>
      </c>
    </row>
    <row r="2" spans="1:7" x14ac:dyDescent="0.3">
      <c r="A2" s="14" t="s">
        <v>40</v>
      </c>
      <c r="F2" t="s">
        <v>76</v>
      </c>
      <c r="G2" s="4"/>
    </row>
    <row r="3" spans="1:7" x14ac:dyDescent="0.3">
      <c r="A3" s="3" t="s">
        <v>38</v>
      </c>
      <c r="F3" t="s">
        <v>77</v>
      </c>
      <c r="G3" s="4"/>
    </row>
    <row r="4" spans="1:7" x14ac:dyDescent="0.3">
      <c r="A4" s="3"/>
      <c r="F4" t="s">
        <v>78</v>
      </c>
      <c r="G4" s="4"/>
    </row>
    <row r="5" spans="1:7" x14ac:dyDescent="0.3">
      <c r="A5" t="s">
        <v>7</v>
      </c>
      <c r="B5" s="44">
        <v>0</v>
      </c>
      <c r="F5" t="s">
        <v>79</v>
      </c>
      <c r="G5" s="4"/>
    </row>
    <row r="6" spans="1:7" x14ac:dyDescent="0.3">
      <c r="A6" t="s">
        <v>0</v>
      </c>
      <c r="B6" s="46">
        <f>B5/(365*24*Assumptions!B6)</f>
        <v>0</v>
      </c>
      <c r="G6" s="4"/>
    </row>
    <row r="7" spans="1:7" x14ac:dyDescent="0.3">
      <c r="A7" t="s">
        <v>74</v>
      </c>
      <c r="B7" s="44">
        <v>0</v>
      </c>
      <c r="C7" s="22"/>
      <c r="G7" s="4"/>
    </row>
    <row r="8" spans="1:7" x14ac:dyDescent="0.3">
      <c r="A8" t="s">
        <v>75</v>
      </c>
      <c r="B8" s="47">
        <f>(B6-B7)*1000*Assumptions!B2</f>
        <v>0</v>
      </c>
      <c r="G8" s="4"/>
    </row>
    <row r="9" spans="1:7" x14ac:dyDescent="0.3">
      <c r="A9" t="s">
        <v>71</v>
      </c>
      <c r="B9" s="45"/>
      <c r="F9" s="3" t="s">
        <v>22</v>
      </c>
      <c r="G9" s="4"/>
    </row>
    <row r="10" spans="1:7" x14ac:dyDescent="0.3">
      <c r="A10" s="2" t="s">
        <v>1</v>
      </c>
      <c r="B10" s="48">
        <f>B8+B9</f>
        <v>0</v>
      </c>
      <c r="F10" t="s">
        <v>23</v>
      </c>
      <c r="G10" s="4"/>
    </row>
    <row r="11" spans="1:7" x14ac:dyDescent="0.3">
      <c r="A11" s="1"/>
      <c r="B11" s="22"/>
      <c r="F11" t="s">
        <v>69</v>
      </c>
    </row>
    <row r="12" spans="1:7" x14ac:dyDescent="0.3">
      <c r="A12" t="s">
        <v>2</v>
      </c>
      <c r="B12" s="47">
        <f>-B10*0.3</f>
        <v>0</v>
      </c>
      <c r="F12" t="s">
        <v>72</v>
      </c>
    </row>
    <row r="13" spans="1:7" x14ac:dyDescent="0.3">
      <c r="A13" t="s">
        <v>8</v>
      </c>
      <c r="B13" s="47">
        <f>-(IF((B10*0.12)&gt;2000,2000,(B10*0.12)))</f>
        <v>0</v>
      </c>
      <c r="F13" t="s">
        <v>24</v>
      </c>
    </row>
    <row r="14" spans="1:7" x14ac:dyDescent="0.3">
      <c r="A14" s="2" t="s">
        <v>3</v>
      </c>
      <c r="B14" s="48">
        <f>SUM(B12:B13)</f>
        <v>0</v>
      </c>
      <c r="F14" t="s">
        <v>26</v>
      </c>
    </row>
    <row r="15" spans="1:7" ht="15" thickBot="1" x14ac:dyDescent="0.35">
      <c r="B15" s="22"/>
      <c r="F15" t="s">
        <v>25</v>
      </c>
    </row>
    <row r="16" spans="1:7" ht="15" thickBot="1" x14ac:dyDescent="0.35">
      <c r="A16" s="13" t="s">
        <v>4</v>
      </c>
      <c r="B16" s="49">
        <f>B10+B14</f>
        <v>0</v>
      </c>
      <c r="F16" t="s">
        <v>29</v>
      </c>
    </row>
    <row r="17" spans="1:6" x14ac:dyDescent="0.3">
      <c r="A17" t="s">
        <v>5</v>
      </c>
      <c r="B17" s="22"/>
      <c r="F17" t="s">
        <v>27</v>
      </c>
    </row>
    <row r="18" spans="1:6" x14ac:dyDescent="0.3">
      <c r="A18" t="s">
        <v>6</v>
      </c>
      <c r="B18" s="50" t="e">
        <f>IRR!G23</f>
        <v>#NUM!</v>
      </c>
      <c r="F18" t="s">
        <v>28</v>
      </c>
    </row>
    <row r="19" spans="1:6" x14ac:dyDescent="0.3">
      <c r="A19" t="s">
        <v>68</v>
      </c>
      <c r="B19" s="50" t="e">
        <f>IRR!I23</f>
        <v>#NUM!</v>
      </c>
    </row>
    <row r="20" spans="1:6" x14ac:dyDescent="0.3">
      <c r="B20" s="22"/>
    </row>
    <row r="21" spans="1:6" ht="16.2" x14ac:dyDescent="0.3">
      <c r="A21" t="s">
        <v>21</v>
      </c>
      <c r="B21" s="51">
        <f>B6*Assumptions!B7</f>
        <v>0</v>
      </c>
    </row>
  </sheetData>
  <sheetProtection password="8001" sheet="1" objects="1" scenarios="1"/>
  <hyperlinks>
    <hyperlink ref="A2" r:id="rId1" display="https://maps.google.com/?q=73150+Bjork+Rd,+Washburn&amp;entry=gmail&amp;source=g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B4" sqref="B4"/>
    </sheetView>
  </sheetViews>
  <sheetFormatPr defaultRowHeight="14.4" x14ac:dyDescent="0.3"/>
  <cols>
    <col min="1" max="1" width="33.44140625" customWidth="1"/>
  </cols>
  <sheetData>
    <row r="1" spans="1:3" x14ac:dyDescent="0.3">
      <c r="A1" s="3" t="s">
        <v>33</v>
      </c>
    </row>
    <row r="2" spans="1:3" x14ac:dyDescent="0.3">
      <c r="A2" s="19" t="s">
        <v>73</v>
      </c>
      <c r="B2" s="5">
        <v>2.5</v>
      </c>
    </row>
    <row r="3" spans="1:3" x14ac:dyDescent="0.3">
      <c r="A3" t="s">
        <v>31</v>
      </c>
      <c r="B3" s="16">
        <v>0.12</v>
      </c>
    </row>
    <row r="4" spans="1:3" x14ac:dyDescent="0.3">
      <c r="A4" t="s">
        <v>20</v>
      </c>
      <c r="B4" s="17">
        <v>0.03</v>
      </c>
    </row>
    <row r="5" spans="1:3" x14ac:dyDescent="0.3">
      <c r="A5" t="s">
        <v>19</v>
      </c>
      <c r="B5" s="6">
        <v>5.0000000000000001E-3</v>
      </c>
    </row>
    <row r="6" spans="1:3" x14ac:dyDescent="0.3">
      <c r="A6" t="s">
        <v>66</v>
      </c>
      <c r="B6" s="18">
        <v>0.15</v>
      </c>
      <c r="C6" t="s">
        <v>30</v>
      </c>
    </row>
    <row r="7" spans="1:3" x14ac:dyDescent="0.3">
      <c r="A7" t="s">
        <v>32</v>
      </c>
      <c r="B7">
        <v>63</v>
      </c>
    </row>
    <row r="9" spans="1:3" x14ac:dyDescent="0.3">
      <c r="A9" t="s">
        <v>37</v>
      </c>
    </row>
    <row r="10" spans="1:3" x14ac:dyDescent="0.3">
      <c r="A10" t="s">
        <v>36</v>
      </c>
    </row>
    <row r="11" spans="1:3" x14ac:dyDescent="0.3">
      <c r="A11" t="s">
        <v>34</v>
      </c>
    </row>
    <row r="12" spans="1:3" x14ac:dyDescent="0.3">
      <c r="A12" t="s">
        <v>35</v>
      </c>
    </row>
    <row r="13" spans="1:3" x14ac:dyDescent="0.3">
      <c r="A13" t="s">
        <v>34</v>
      </c>
    </row>
    <row r="14" spans="1:3" x14ac:dyDescent="0.3">
      <c r="A1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workbookViewId="0"/>
  </sheetViews>
  <sheetFormatPr defaultRowHeight="14.4" x14ac:dyDescent="0.3"/>
  <cols>
    <col min="1" max="1" width="25.44140625" customWidth="1"/>
    <col min="2" max="2" width="15.44140625" customWidth="1"/>
    <col min="3" max="3" width="11.33203125" customWidth="1"/>
    <col min="4" max="4" width="13.6640625" customWidth="1"/>
    <col min="5" max="5" width="12.33203125" customWidth="1"/>
    <col min="6" max="6" width="11" customWidth="1"/>
    <col min="7" max="7" width="9.6640625" bestFit="1" customWidth="1"/>
    <col min="8" max="8" width="12.6640625" customWidth="1"/>
  </cols>
  <sheetData>
    <row r="1" spans="1:13" x14ac:dyDescent="0.3">
      <c r="A1" s="7"/>
      <c r="B1" s="8"/>
      <c r="C1" s="8"/>
      <c r="H1" s="9"/>
      <c r="I1" s="10" t="s">
        <v>9</v>
      </c>
      <c r="J1" s="9"/>
      <c r="K1" s="9"/>
      <c r="L1" s="9"/>
      <c r="M1" s="11"/>
    </row>
    <row r="2" spans="1:13" x14ac:dyDescent="0.3">
      <c r="A2" s="20"/>
      <c r="B2" s="21"/>
      <c r="C2" s="21"/>
      <c r="D2" s="22"/>
      <c r="E2" s="22"/>
      <c r="F2" s="23" t="s">
        <v>10</v>
      </c>
      <c r="G2" s="23" t="s">
        <v>11</v>
      </c>
      <c r="H2" s="24">
        <v>0.15</v>
      </c>
      <c r="I2" s="25">
        <v>0.22</v>
      </c>
      <c r="J2" s="26">
        <v>0.28000000000000003</v>
      </c>
      <c r="K2" s="26">
        <v>0.32</v>
      </c>
      <c r="L2" s="26">
        <v>0.35</v>
      </c>
      <c r="M2" s="26">
        <v>0.37</v>
      </c>
    </row>
    <row r="3" spans="1:13" x14ac:dyDescent="0.3">
      <c r="A3" s="20"/>
      <c r="B3" s="21" t="s">
        <v>12</v>
      </c>
      <c r="C3" s="21" t="s">
        <v>13</v>
      </c>
      <c r="D3" s="21" t="s">
        <v>14</v>
      </c>
      <c r="E3" s="20" t="s">
        <v>15</v>
      </c>
      <c r="F3" s="27">
        <f>-Summary!B16</f>
        <v>0</v>
      </c>
      <c r="G3" s="28"/>
      <c r="H3" s="29"/>
      <c r="I3" s="29"/>
      <c r="J3" s="29"/>
      <c r="K3" s="29"/>
      <c r="L3" s="29"/>
      <c r="M3" s="30"/>
    </row>
    <row r="4" spans="1:13" x14ac:dyDescent="0.3">
      <c r="A4" s="20" t="s">
        <v>41</v>
      </c>
      <c r="B4" s="21">
        <f>(Summary!B6*24*365)*Assumptions!B6</f>
        <v>0</v>
      </c>
      <c r="C4" s="31">
        <f>Assumptions!B3</f>
        <v>0.12</v>
      </c>
      <c r="D4" s="27">
        <f>B4*C4</f>
        <v>0</v>
      </c>
      <c r="E4" s="27">
        <f>D4</f>
        <v>0</v>
      </c>
      <c r="F4" s="27">
        <f>B4*C4</f>
        <v>0</v>
      </c>
      <c r="G4" s="28"/>
      <c r="H4" s="29"/>
      <c r="I4" s="29"/>
      <c r="J4" s="29"/>
      <c r="K4" s="29"/>
      <c r="L4" s="29"/>
      <c r="M4" s="30"/>
    </row>
    <row r="5" spans="1:13" x14ac:dyDescent="0.3">
      <c r="A5" s="20" t="s">
        <v>42</v>
      </c>
      <c r="B5" s="32">
        <f>B4-(B4*Assumptions!$B$5)</f>
        <v>0</v>
      </c>
      <c r="C5" s="31">
        <f>C4+(C4*Assumptions!$B$4)</f>
        <v>0.1236</v>
      </c>
      <c r="D5" s="27">
        <f t="shared" ref="D5:D28" si="0">B5*C5</f>
        <v>0</v>
      </c>
      <c r="E5" s="27">
        <f>SUM(D$4:D5)</f>
        <v>0</v>
      </c>
      <c r="F5" s="27">
        <f t="shared" ref="F5:F28" si="1">B5*C5</f>
        <v>0</v>
      </c>
      <c r="G5" s="28"/>
      <c r="H5" s="29"/>
      <c r="I5" s="29"/>
      <c r="J5" s="29"/>
      <c r="K5" s="29"/>
      <c r="L5" s="29"/>
      <c r="M5" s="30"/>
    </row>
    <row r="6" spans="1:13" x14ac:dyDescent="0.3">
      <c r="A6" s="20" t="s">
        <v>43</v>
      </c>
      <c r="B6" s="32">
        <f>B5-(B5*Assumptions!$B$5)</f>
        <v>0</v>
      </c>
      <c r="C6" s="31">
        <f>C5+(C5*Assumptions!$B$4)</f>
        <v>0.127308</v>
      </c>
      <c r="D6" s="27">
        <f t="shared" si="0"/>
        <v>0</v>
      </c>
      <c r="E6" s="27">
        <f>SUM(D$4:D6)</f>
        <v>0</v>
      </c>
      <c r="F6" s="27">
        <f t="shared" si="1"/>
        <v>0</v>
      </c>
      <c r="G6" s="28"/>
      <c r="H6" s="29"/>
      <c r="I6" s="29"/>
      <c r="J6" s="29"/>
      <c r="K6" s="29"/>
      <c r="L6" s="29"/>
      <c r="M6" s="30"/>
    </row>
    <row r="7" spans="1:13" x14ac:dyDescent="0.3">
      <c r="A7" s="20" t="s">
        <v>44</v>
      </c>
      <c r="B7" s="32">
        <f>B6-(B6*Assumptions!$B$5)</f>
        <v>0</v>
      </c>
      <c r="C7" s="31">
        <f>C6+(C6*Assumptions!$B$4)</f>
        <v>0.13112724000000001</v>
      </c>
      <c r="D7" s="27">
        <f t="shared" si="0"/>
        <v>0</v>
      </c>
      <c r="E7" s="27">
        <f>SUM(D$4:D7)</f>
        <v>0</v>
      </c>
      <c r="F7" s="27">
        <f t="shared" si="1"/>
        <v>0</v>
      </c>
      <c r="G7" s="28"/>
      <c r="H7" s="29"/>
      <c r="I7" s="29"/>
      <c r="J7" s="29"/>
      <c r="K7" s="29"/>
      <c r="L7" s="29"/>
      <c r="M7" s="30"/>
    </row>
    <row r="8" spans="1:13" x14ac:dyDescent="0.3">
      <c r="A8" s="20" t="s">
        <v>45</v>
      </c>
      <c r="B8" s="32">
        <f>B7-(B7*Assumptions!$B$5)</f>
        <v>0</v>
      </c>
      <c r="C8" s="31">
        <f>C7+(C7*Assumptions!$B$4)</f>
        <v>0.1350610572</v>
      </c>
      <c r="D8" s="27">
        <f t="shared" si="0"/>
        <v>0</v>
      </c>
      <c r="E8" s="27">
        <f>SUM(D$4:D8)</f>
        <v>0</v>
      </c>
      <c r="F8" s="27">
        <f t="shared" si="1"/>
        <v>0</v>
      </c>
      <c r="G8" s="28"/>
      <c r="H8" s="29"/>
      <c r="I8" s="29"/>
      <c r="J8" s="29"/>
      <c r="K8" s="29"/>
      <c r="L8" s="29"/>
      <c r="M8" s="30"/>
    </row>
    <row r="9" spans="1:13" x14ac:dyDescent="0.3">
      <c r="A9" s="20" t="s">
        <v>46</v>
      </c>
      <c r="B9" s="32">
        <f>B8-(B8*Assumptions!$B$5)</f>
        <v>0</v>
      </c>
      <c r="C9" s="31">
        <f>C8+(C8*Assumptions!$B$4)</f>
        <v>0.13911288891599999</v>
      </c>
      <c r="D9" s="27">
        <f t="shared" si="0"/>
        <v>0</v>
      </c>
      <c r="E9" s="27">
        <f>SUM(D$4:D9)</f>
        <v>0</v>
      </c>
      <c r="F9" s="27">
        <f t="shared" si="1"/>
        <v>0</v>
      </c>
      <c r="G9" s="33"/>
      <c r="H9" s="29"/>
      <c r="I9" s="29"/>
      <c r="J9" s="29"/>
      <c r="K9" s="29"/>
      <c r="L9" s="29"/>
      <c r="M9" s="30"/>
    </row>
    <row r="10" spans="1:13" x14ac:dyDescent="0.3">
      <c r="A10" s="20" t="s">
        <v>47</v>
      </c>
      <c r="B10" s="32">
        <f>B9-(B9*Assumptions!$B$5)</f>
        <v>0</v>
      </c>
      <c r="C10" s="31">
        <f>C9+(C9*Assumptions!$B$4)</f>
        <v>0.14328627558347998</v>
      </c>
      <c r="D10" s="27">
        <f t="shared" si="0"/>
        <v>0</v>
      </c>
      <c r="E10" s="27">
        <f>SUM(D$4:D10)</f>
        <v>0</v>
      </c>
      <c r="F10" s="27">
        <f t="shared" si="1"/>
        <v>0</v>
      </c>
      <c r="G10" s="33"/>
      <c r="H10" s="29"/>
      <c r="I10" s="29"/>
      <c r="J10" s="29"/>
      <c r="K10" s="29"/>
      <c r="L10" s="29"/>
      <c r="M10" s="30"/>
    </row>
    <row r="11" spans="1:13" x14ac:dyDescent="0.3">
      <c r="A11" s="20" t="s">
        <v>48</v>
      </c>
      <c r="B11" s="32">
        <f>B10-(B10*Assumptions!$B$5)</f>
        <v>0</v>
      </c>
      <c r="C11" s="31">
        <f>C10+(C10*Assumptions!$B$4)</f>
        <v>0.14758486385098438</v>
      </c>
      <c r="D11" s="27">
        <f t="shared" si="0"/>
        <v>0</v>
      </c>
      <c r="E11" s="34">
        <f>SUM(D$4:D11)</f>
        <v>0</v>
      </c>
      <c r="F11" s="27">
        <f t="shared" si="1"/>
        <v>0</v>
      </c>
      <c r="G11" s="28"/>
      <c r="H11" s="29"/>
      <c r="I11" s="29"/>
      <c r="J11" s="29"/>
      <c r="K11" s="29"/>
      <c r="L11" s="29"/>
      <c r="M11" s="30"/>
    </row>
    <row r="12" spans="1:13" x14ac:dyDescent="0.3">
      <c r="A12" s="20" t="s">
        <v>49</v>
      </c>
      <c r="B12" s="32">
        <f>B11-(B11*Assumptions!$B$5)</f>
        <v>0</v>
      </c>
      <c r="C12" s="31">
        <f>C11+(C11*Assumptions!$B$4)</f>
        <v>0.1520124097665139</v>
      </c>
      <c r="D12" s="27">
        <f t="shared" si="0"/>
        <v>0</v>
      </c>
      <c r="E12" s="34">
        <f>SUM(D$4:D12)</f>
        <v>0</v>
      </c>
      <c r="F12" s="27">
        <f t="shared" si="1"/>
        <v>0</v>
      </c>
      <c r="G12" s="28"/>
      <c r="H12" s="29"/>
      <c r="I12" s="29"/>
      <c r="J12" s="29"/>
      <c r="K12" s="29"/>
      <c r="L12" s="29"/>
      <c r="M12" s="30"/>
    </row>
    <row r="13" spans="1:13" s="12" customFormat="1" x14ac:dyDescent="0.3">
      <c r="A13" s="20" t="s">
        <v>50</v>
      </c>
      <c r="B13" s="35">
        <f>B12-(B12*Assumptions!$B$5)</f>
        <v>0</v>
      </c>
      <c r="C13" s="36">
        <f>C12+(C12*Assumptions!$B$4)</f>
        <v>0.15657278205950931</v>
      </c>
      <c r="D13" s="34">
        <f t="shared" si="0"/>
        <v>0</v>
      </c>
      <c r="E13" s="34">
        <f>SUM(D$4:D13)</f>
        <v>0</v>
      </c>
      <c r="F13" s="34">
        <f t="shared" si="1"/>
        <v>0</v>
      </c>
      <c r="G13" s="37" t="e">
        <f>IRR(F3:F13)</f>
        <v>#NUM!</v>
      </c>
      <c r="H13" s="38" t="e">
        <f t="shared" ref="H13:M13" si="2">$G$13/(1-H2)</f>
        <v>#NUM!</v>
      </c>
      <c r="I13" s="38" t="e">
        <f t="shared" si="2"/>
        <v>#NUM!</v>
      </c>
      <c r="J13" s="38" t="e">
        <f t="shared" si="2"/>
        <v>#NUM!</v>
      </c>
      <c r="K13" s="38" t="e">
        <f t="shared" si="2"/>
        <v>#NUM!</v>
      </c>
      <c r="L13" s="38" t="e">
        <f t="shared" si="2"/>
        <v>#NUM!</v>
      </c>
      <c r="M13" s="38" t="e">
        <f t="shared" si="2"/>
        <v>#NUM!</v>
      </c>
    </row>
    <row r="14" spans="1:13" s="12" customFormat="1" x14ac:dyDescent="0.3">
      <c r="A14" s="20" t="s">
        <v>51</v>
      </c>
      <c r="B14" s="35">
        <f>B13-(B13*Assumptions!$B$5)</f>
        <v>0</v>
      </c>
      <c r="C14" s="36">
        <f>C13+(C13*Assumptions!$B$4)</f>
        <v>0.16126996552129458</v>
      </c>
      <c r="D14" s="34">
        <f t="shared" si="0"/>
        <v>0</v>
      </c>
      <c r="E14" s="34">
        <f>SUM(D$4:D14)</f>
        <v>0</v>
      </c>
      <c r="F14" s="34">
        <f t="shared" si="1"/>
        <v>0</v>
      </c>
      <c r="G14" s="37"/>
      <c r="H14" s="38"/>
      <c r="I14" s="38"/>
      <c r="J14" s="38"/>
      <c r="K14" s="38"/>
      <c r="L14" s="38"/>
      <c r="M14" s="38"/>
    </row>
    <row r="15" spans="1:13" s="12" customFormat="1" x14ac:dyDescent="0.3">
      <c r="A15" s="20" t="s">
        <v>52</v>
      </c>
      <c r="B15" s="35">
        <f>B14-(B14*Assumptions!$B$5)</f>
        <v>0</v>
      </c>
      <c r="C15" s="36">
        <f>C14+(C14*Assumptions!$B$4)</f>
        <v>0.16610806448693341</v>
      </c>
      <c r="D15" s="34">
        <f t="shared" si="0"/>
        <v>0</v>
      </c>
      <c r="E15" s="34">
        <f>SUM(D$4:D15)</f>
        <v>0</v>
      </c>
      <c r="F15" s="34">
        <f t="shared" si="1"/>
        <v>0</v>
      </c>
      <c r="G15" s="37"/>
      <c r="H15" s="38"/>
      <c r="I15" s="38"/>
      <c r="J15" s="38"/>
      <c r="K15" s="38"/>
      <c r="L15" s="38"/>
      <c r="M15" s="38"/>
    </row>
    <row r="16" spans="1:13" s="12" customFormat="1" x14ac:dyDescent="0.3">
      <c r="A16" s="20" t="s">
        <v>53</v>
      </c>
      <c r="B16" s="35">
        <f>B15-(B15*Assumptions!$B$5)</f>
        <v>0</v>
      </c>
      <c r="C16" s="36">
        <f>C15+(C15*Assumptions!$B$4)</f>
        <v>0.17109130642154141</v>
      </c>
      <c r="D16" s="34">
        <f t="shared" si="0"/>
        <v>0</v>
      </c>
      <c r="E16" s="34">
        <f>SUM(D$4:D16)</f>
        <v>0</v>
      </c>
      <c r="F16" s="34">
        <f t="shared" si="1"/>
        <v>0</v>
      </c>
      <c r="G16" s="37"/>
      <c r="H16" s="38"/>
      <c r="I16" s="38"/>
      <c r="J16" s="38"/>
      <c r="K16" s="38"/>
      <c r="L16" s="38"/>
      <c r="M16" s="38"/>
    </row>
    <row r="17" spans="1:13" s="12" customFormat="1" x14ac:dyDescent="0.3">
      <c r="A17" s="20" t="s">
        <v>54</v>
      </c>
      <c r="B17" s="35">
        <f>B16-(B16*Assumptions!$B$5)</f>
        <v>0</v>
      </c>
      <c r="C17" s="36">
        <f>C16+(C16*Assumptions!$B$4)</f>
        <v>0.17622404561418764</v>
      </c>
      <c r="D17" s="34">
        <f t="shared" si="0"/>
        <v>0</v>
      </c>
      <c r="E17" s="34">
        <f>SUM(D$4:D17)</f>
        <v>0</v>
      </c>
      <c r="F17" s="34">
        <f t="shared" si="1"/>
        <v>0</v>
      </c>
      <c r="G17" s="37"/>
      <c r="H17" s="38"/>
      <c r="I17" s="38"/>
      <c r="J17" s="38"/>
      <c r="K17" s="38"/>
      <c r="L17" s="38"/>
      <c r="M17" s="38"/>
    </row>
    <row r="18" spans="1:13" s="12" customFormat="1" x14ac:dyDescent="0.3">
      <c r="A18" s="20" t="s">
        <v>55</v>
      </c>
      <c r="B18" s="35">
        <f>B17-(B17*Assumptions!$B$5)</f>
        <v>0</v>
      </c>
      <c r="C18" s="36">
        <f>C17+(C17*Assumptions!$B$4)</f>
        <v>0.18151076698261326</v>
      </c>
      <c r="D18" s="34">
        <f t="shared" si="0"/>
        <v>0</v>
      </c>
      <c r="E18" s="34">
        <f>SUM(D$4:D18)</f>
        <v>0</v>
      </c>
      <c r="F18" s="34">
        <f t="shared" si="1"/>
        <v>0</v>
      </c>
      <c r="G18" s="37" t="e">
        <f>IRR(F3:F18)</f>
        <v>#NUM!</v>
      </c>
      <c r="H18" s="38" t="e">
        <f t="shared" ref="H18:M18" si="3">$G$18/(1-H$2)</f>
        <v>#NUM!</v>
      </c>
      <c r="I18" s="38" t="e">
        <f t="shared" si="3"/>
        <v>#NUM!</v>
      </c>
      <c r="J18" s="38" t="e">
        <f t="shared" si="3"/>
        <v>#NUM!</v>
      </c>
      <c r="K18" s="38" t="e">
        <f t="shared" si="3"/>
        <v>#NUM!</v>
      </c>
      <c r="L18" s="38" t="e">
        <f t="shared" si="3"/>
        <v>#NUM!</v>
      </c>
      <c r="M18" s="38" t="e">
        <f t="shared" si="3"/>
        <v>#NUM!</v>
      </c>
    </row>
    <row r="19" spans="1:13" s="12" customFormat="1" x14ac:dyDescent="0.3">
      <c r="A19" s="20" t="s">
        <v>56</v>
      </c>
      <c r="B19" s="35">
        <f>B18-(B18*Assumptions!$B$5)</f>
        <v>0</v>
      </c>
      <c r="C19" s="36">
        <f>C18+(C18*Assumptions!$B$4)</f>
        <v>0.18695608999209165</v>
      </c>
      <c r="D19" s="34">
        <f t="shared" si="0"/>
        <v>0</v>
      </c>
      <c r="E19" s="34">
        <f>SUM(D$4:D19)</f>
        <v>0</v>
      </c>
      <c r="F19" s="34">
        <f t="shared" si="1"/>
        <v>0</v>
      </c>
      <c r="G19" s="37"/>
      <c r="H19" s="38"/>
      <c r="I19" s="38"/>
      <c r="J19" s="38"/>
      <c r="K19" s="38"/>
      <c r="L19" s="38"/>
      <c r="M19" s="38"/>
    </row>
    <row r="20" spans="1:13" s="12" customFormat="1" x14ac:dyDescent="0.3">
      <c r="A20" s="20" t="s">
        <v>57</v>
      </c>
      <c r="B20" s="35">
        <f>B19-(B19*Assumptions!$B$5)</f>
        <v>0</v>
      </c>
      <c r="C20" s="36">
        <f>C19+(C19*Assumptions!$B$4)</f>
        <v>0.1925647726918544</v>
      </c>
      <c r="D20" s="34">
        <f t="shared" si="0"/>
        <v>0</v>
      </c>
      <c r="E20" s="34">
        <f>SUM(D$4:D20)</f>
        <v>0</v>
      </c>
      <c r="F20" s="34">
        <f t="shared" si="1"/>
        <v>0</v>
      </c>
      <c r="G20" s="37"/>
      <c r="H20" s="38"/>
      <c r="I20" s="38"/>
      <c r="J20" s="38"/>
      <c r="K20" s="38"/>
      <c r="L20" s="38"/>
      <c r="M20" s="38"/>
    </row>
    <row r="21" spans="1:13" s="12" customFormat="1" x14ac:dyDescent="0.3">
      <c r="A21" s="20" t="s">
        <v>58</v>
      </c>
      <c r="B21" s="35">
        <f>B20-(B20*Assumptions!$B$5)</f>
        <v>0</v>
      </c>
      <c r="C21" s="36">
        <f>C20+(C20*Assumptions!$B$4)</f>
        <v>0.19834171587261004</v>
      </c>
      <c r="D21" s="34">
        <f t="shared" si="0"/>
        <v>0</v>
      </c>
      <c r="E21" s="34">
        <f>SUM(D$4:D21)</f>
        <v>0</v>
      </c>
      <c r="F21" s="34">
        <f t="shared" si="1"/>
        <v>0</v>
      </c>
      <c r="G21" s="37"/>
      <c r="H21" s="38"/>
      <c r="I21" s="38"/>
      <c r="J21" s="38"/>
      <c r="K21" s="38"/>
      <c r="L21" s="38"/>
      <c r="M21" s="38"/>
    </row>
    <row r="22" spans="1:13" s="12" customFormat="1" x14ac:dyDescent="0.3">
      <c r="A22" s="20" t="s">
        <v>59</v>
      </c>
      <c r="B22" s="35">
        <f>B21-(B21*Assumptions!$B$5)</f>
        <v>0</v>
      </c>
      <c r="C22" s="36">
        <f>C21+(C21*Assumptions!$B$4)</f>
        <v>0.20429196734878835</v>
      </c>
      <c r="D22" s="34">
        <f t="shared" si="0"/>
        <v>0</v>
      </c>
      <c r="E22" s="34">
        <f>SUM(D$4:D22)</f>
        <v>0</v>
      </c>
      <c r="F22" s="34">
        <f t="shared" si="1"/>
        <v>0</v>
      </c>
      <c r="G22" s="37"/>
      <c r="H22" s="38"/>
      <c r="I22" s="38"/>
      <c r="J22" s="38"/>
      <c r="K22" s="38"/>
      <c r="L22" s="38"/>
      <c r="M22" s="38"/>
    </row>
    <row r="23" spans="1:13" s="12" customFormat="1" x14ac:dyDescent="0.3">
      <c r="A23" s="20" t="s">
        <v>60</v>
      </c>
      <c r="B23" s="35">
        <f>B22-(B22*Assumptions!$B$5)</f>
        <v>0</v>
      </c>
      <c r="C23" s="36">
        <f>C22+(C22*Assumptions!$B$4)</f>
        <v>0.21042072636925199</v>
      </c>
      <c r="D23" s="34">
        <f t="shared" si="0"/>
        <v>0</v>
      </c>
      <c r="E23" s="34">
        <f>SUM(D$4:D23)</f>
        <v>0</v>
      </c>
      <c r="F23" s="34">
        <f t="shared" si="1"/>
        <v>0</v>
      </c>
      <c r="G23" s="39" t="e">
        <f>IRR(F3:F23)</f>
        <v>#NUM!</v>
      </c>
      <c r="H23" s="38" t="e">
        <f t="shared" ref="H23:M23" si="4">$G$23/(1-H$2)</f>
        <v>#NUM!</v>
      </c>
      <c r="I23" s="40" t="e">
        <f t="shared" si="4"/>
        <v>#NUM!</v>
      </c>
      <c r="J23" s="38" t="e">
        <f t="shared" si="4"/>
        <v>#NUM!</v>
      </c>
      <c r="K23" s="38" t="e">
        <f t="shared" si="4"/>
        <v>#NUM!</v>
      </c>
      <c r="L23" s="38" t="e">
        <f t="shared" si="4"/>
        <v>#NUM!</v>
      </c>
      <c r="M23" s="38" t="e">
        <f t="shared" si="4"/>
        <v>#NUM!</v>
      </c>
    </row>
    <row r="24" spans="1:13" s="12" customFormat="1" x14ac:dyDescent="0.3">
      <c r="A24" s="20" t="s">
        <v>61</v>
      </c>
      <c r="B24" s="35">
        <f>B23-(B23*Assumptions!$B$5)</f>
        <v>0</v>
      </c>
      <c r="C24" s="36">
        <f>C23+(C23*Assumptions!$B$4)</f>
        <v>0.21673334816032955</v>
      </c>
      <c r="D24" s="34">
        <f t="shared" si="0"/>
        <v>0</v>
      </c>
      <c r="E24" s="34">
        <f>SUM(D$4:D24)</f>
        <v>0</v>
      </c>
      <c r="F24" s="34">
        <f t="shared" si="1"/>
        <v>0</v>
      </c>
      <c r="G24" s="37"/>
      <c r="H24" s="38"/>
      <c r="I24" s="38"/>
      <c r="J24" s="38"/>
      <c r="K24" s="38"/>
      <c r="L24" s="38"/>
      <c r="M24" s="38"/>
    </row>
    <row r="25" spans="1:13" s="12" customFormat="1" x14ac:dyDescent="0.3">
      <c r="A25" s="20" t="s">
        <v>62</v>
      </c>
      <c r="B25" s="35">
        <f>B24-(B24*Assumptions!$B$5)</f>
        <v>0</v>
      </c>
      <c r="C25" s="36">
        <f>C24+(C24*Assumptions!$B$4)</f>
        <v>0.22323534860513944</v>
      </c>
      <c r="D25" s="34">
        <f t="shared" si="0"/>
        <v>0</v>
      </c>
      <c r="E25" s="34">
        <f>SUM(D$4:D25)</f>
        <v>0</v>
      </c>
      <c r="F25" s="34">
        <f t="shared" si="1"/>
        <v>0</v>
      </c>
      <c r="G25" s="37"/>
      <c r="H25" s="38"/>
      <c r="I25" s="38"/>
      <c r="J25" s="38"/>
      <c r="K25" s="38"/>
      <c r="L25" s="38"/>
      <c r="M25" s="38"/>
    </row>
    <row r="26" spans="1:13" s="12" customFormat="1" x14ac:dyDescent="0.3">
      <c r="A26" s="20" t="s">
        <v>63</v>
      </c>
      <c r="B26" s="35">
        <f>B25-(B25*Assumptions!$B$5)</f>
        <v>0</v>
      </c>
      <c r="C26" s="36">
        <f>C25+(C25*Assumptions!$B$4)</f>
        <v>0.22993240906329362</v>
      </c>
      <c r="D26" s="34">
        <f t="shared" si="0"/>
        <v>0</v>
      </c>
      <c r="E26" s="34">
        <f>SUM(D$4:D26)</f>
        <v>0</v>
      </c>
      <c r="F26" s="34">
        <f t="shared" si="1"/>
        <v>0</v>
      </c>
      <c r="G26" s="37"/>
      <c r="H26" s="38"/>
      <c r="I26" s="38"/>
      <c r="J26" s="38"/>
      <c r="K26" s="38"/>
      <c r="L26" s="38"/>
      <c r="M26" s="38"/>
    </row>
    <row r="27" spans="1:13" s="12" customFormat="1" x14ac:dyDescent="0.3">
      <c r="A27" s="20" t="s">
        <v>64</v>
      </c>
      <c r="B27" s="35">
        <f>B26-(B26*Assumptions!$B$5)</f>
        <v>0</v>
      </c>
      <c r="C27" s="36">
        <f>C26+(C26*Assumptions!$B$4)</f>
        <v>0.23683038133519244</v>
      </c>
      <c r="D27" s="34">
        <f t="shared" si="0"/>
        <v>0</v>
      </c>
      <c r="E27" s="34">
        <f>SUM(D$4:D27)</f>
        <v>0</v>
      </c>
      <c r="F27" s="34">
        <f t="shared" si="1"/>
        <v>0</v>
      </c>
      <c r="G27" s="37"/>
      <c r="H27" s="38"/>
      <c r="I27" s="38"/>
      <c r="J27" s="38"/>
      <c r="K27" s="38"/>
      <c r="L27" s="38"/>
      <c r="M27" s="38"/>
    </row>
    <row r="28" spans="1:13" s="12" customFormat="1" x14ac:dyDescent="0.3">
      <c r="A28" s="20" t="s">
        <v>65</v>
      </c>
      <c r="B28" s="35">
        <f>B27-(B27*Assumptions!$B$5)</f>
        <v>0</v>
      </c>
      <c r="C28" s="36">
        <f>C27+(C27*Assumptions!$B$4)</f>
        <v>0.2439352927752482</v>
      </c>
      <c r="D28" s="34">
        <f t="shared" si="0"/>
        <v>0</v>
      </c>
      <c r="E28" s="34">
        <f>SUM(D$4:D28)</f>
        <v>0</v>
      </c>
      <c r="F28" s="34">
        <f t="shared" si="1"/>
        <v>0</v>
      </c>
      <c r="G28" s="37" t="e">
        <f>IRR(F3:F28)</f>
        <v>#NUM!</v>
      </c>
      <c r="H28" s="38" t="e">
        <f t="shared" ref="H28:M28" si="5">$G$28/(1-H$2)</f>
        <v>#NUM!</v>
      </c>
      <c r="I28" s="38" t="e">
        <f t="shared" si="5"/>
        <v>#NUM!</v>
      </c>
      <c r="J28" s="38" t="e">
        <f t="shared" si="5"/>
        <v>#NUM!</v>
      </c>
      <c r="K28" s="38" t="e">
        <f t="shared" si="5"/>
        <v>#NUM!</v>
      </c>
      <c r="L28" s="38" t="e">
        <f t="shared" si="5"/>
        <v>#NUM!</v>
      </c>
      <c r="M28" s="38" t="e">
        <f t="shared" si="5"/>
        <v>#NUM!</v>
      </c>
    </row>
    <row r="29" spans="1:13" ht="15" thickBot="1" x14ac:dyDescent="0.35">
      <c r="A29" s="20" t="s">
        <v>16</v>
      </c>
      <c r="B29" s="20"/>
      <c r="C29" s="20"/>
      <c r="D29" s="20"/>
      <c r="E29" s="27">
        <f>E28-Summary!B14</f>
        <v>0</v>
      </c>
      <c r="F29" s="41" t="e">
        <f>IRR(F3:F28)</f>
        <v>#NUM!</v>
      </c>
      <c r="G29" s="42" t="s">
        <v>17</v>
      </c>
      <c r="H29" s="22"/>
      <c r="I29" s="22"/>
      <c r="J29" s="22"/>
      <c r="K29" s="22"/>
      <c r="L29" s="22"/>
      <c r="M29" s="22"/>
    </row>
    <row r="30" spans="1:13" ht="15" thickTop="1" x14ac:dyDescent="0.3">
      <c r="A30" s="20" t="s">
        <v>18</v>
      </c>
      <c r="B30" s="20"/>
      <c r="C30" s="20"/>
      <c r="D30" s="20"/>
      <c r="E30" s="43" t="e">
        <f>-E29/F3</f>
        <v>#DIV/0!</v>
      </c>
      <c r="F30" s="22"/>
      <c r="G30" s="22"/>
      <c r="H30" s="22"/>
      <c r="I30" s="22"/>
      <c r="J30" s="22"/>
      <c r="K30" s="22"/>
      <c r="L30" s="22"/>
      <c r="M30" s="22"/>
    </row>
    <row r="32" spans="1:13" x14ac:dyDescent="0.3">
      <c r="G32" s="15"/>
      <c r="H32" s="15"/>
    </row>
    <row r="33" spans="7:8" x14ac:dyDescent="0.3">
      <c r="G33" s="15"/>
      <c r="H33" s="15"/>
    </row>
    <row r="34" spans="7:8" x14ac:dyDescent="0.3">
      <c r="H34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Assumptions</vt:lpstr>
      <vt:lpstr>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Vadnais</dc:creator>
  <cp:lastModifiedBy>William Bailey</cp:lastModifiedBy>
  <dcterms:created xsi:type="dcterms:W3CDTF">2017-11-19T16:32:38Z</dcterms:created>
  <dcterms:modified xsi:type="dcterms:W3CDTF">2018-10-02T23:02:56Z</dcterms:modified>
</cp:coreProperties>
</file>