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baile\Desktop\Bayfield County\Energy Tracking\Energy Tracking Spreadsheets\"/>
    </mc:Choice>
  </mc:AlternateContent>
  <xr:revisionPtr revIDLastSave="0" documentId="13_ncr:1_{E2D7C5E3-7386-40AE-ADDA-351C5A51E298}" xr6:coauthVersionLast="46" xr6:coauthVersionMax="46" xr10:uidLastSave="{00000000-0000-0000-0000-000000000000}"/>
  <bookViews>
    <workbookView xWindow="-108" yWindow="-108" windowWidth="23256" windowHeight="12576" firstSheet="2" activeTab="7" xr2:uid="{A2A2C2CA-BBFB-48CE-8E95-DB696B310400}"/>
  </bookViews>
  <sheets>
    <sheet name="Summary" sheetId="1" r:id="rId1"/>
    <sheet name="Electrcity Entry Form" sheetId="2" r:id="rId2"/>
    <sheet name="Nat. Gas Summary" sheetId="10" r:id="rId3"/>
    <sheet name="Nat. Gas Entry Form" sheetId="13" r:id="rId4"/>
    <sheet name="Propane" sheetId="8" r:id="rId5"/>
    <sheet name="Fleet Fuel" sheetId="4" r:id="rId6"/>
    <sheet name="Renewable Electricity" sheetId="7" r:id="rId7"/>
    <sheet name="Renewable.Connect 2020" sheetId="12" r:id="rId8"/>
    <sheet name="Renewable.Connect 2019" sheetId="11" r:id="rId9"/>
    <sheet name="ChartCF" sheetId="9" r:id="rId10"/>
    <sheet name="Notes" sheetId="5" r:id="rId1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7" l="1"/>
  <c r="C8" i="7"/>
  <c r="C6" i="7"/>
  <c r="C5" i="7"/>
  <c r="C4" i="7"/>
  <c r="H11" i="7"/>
  <c r="H8" i="7"/>
  <c r="H7" i="7"/>
  <c r="H6" i="7"/>
  <c r="H5" i="7"/>
  <c r="H4" i="7"/>
  <c r="B14" i="7"/>
  <c r="B13" i="7"/>
  <c r="B22" i="10"/>
  <c r="D31" i="13"/>
  <c r="D29" i="13"/>
  <c r="D28" i="13"/>
  <c r="D27" i="13"/>
  <c r="D26" i="13"/>
  <c r="D22" i="13"/>
  <c r="D21" i="13"/>
  <c r="D20" i="13"/>
  <c r="D19" i="13"/>
  <c r="D18" i="13"/>
  <c r="B31" i="13"/>
  <c r="C31" i="13"/>
  <c r="G26" i="13"/>
  <c r="G22" i="13"/>
  <c r="G29" i="13"/>
  <c r="G28" i="13"/>
  <c r="G27" i="13"/>
  <c r="G21" i="13"/>
  <c r="G20" i="13"/>
  <c r="G19" i="13"/>
  <c r="G18" i="13"/>
  <c r="F30" i="13"/>
  <c r="E30" i="13"/>
  <c r="B15" i="7" l="1"/>
  <c r="G30" i="13"/>
  <c r="O10" i="1" l="1"/>
  <c r="O7" i="1"/>
  <c r="O6" i="1"/>
  <c r="O5" i="1"/>
  <c r="P10" i="1"/>
  <c r="P7" i="1"/>
  <c r="P6" i="1"/>
  <c r="P5" i="1"/>
  <c r="M15" i="13"/>
  <c r="C9" i="10" s="1"/>
  <c r="L15" i="13"/>
  <c r="B9" i="10" s="1"/>
  <c r="K15" i="13"/>
  <c r="C13" i="10" s="1"/>
  <c r="J15" i="13"/>
  <c r="B13" i="10" s="1"/>
  <c r="I15" i="13"/>
  <c r="C5" i="10" s="1"/>
  <c r="H15" i="13"/>
  <c r="B5" i="10" s="1"/>
  <c r="G15" i="13"/>
  <c r="C16" i="10" s="1"/>
  <c r="E15" i="13"/>
  <c r="C12" i="10" s="1"/>
  <c r="D15" i="13"/>
  <c r="B12" i="10" s="1"/>
  <c r="C15" i="13"/>
  <c r="C7" i="10" s="1"/>
  <c r="B15" i="13"/>
  <c r="B7" i="10" s="1"/>
  <c r="F14" i="13"/>
  <c r="F13" i="13"/>
  <c r="F12" i="13"/>
  <c r="F11" i="13"/>
  <c r="F10" i="13"/>
  <c r="F9" i="13"/>
  <c r="F8" i="13"/>
  <c r="F7" i="13"/>
  <c r="F6" i="13"/>
  <c r="F5" i="13"/>
  <c r="F4" i="13"/>
  <c r="F3" i="13"/>
  <c r="I18" i="10"/>
  <c r="H18" i="10"/>
  <c r="G18" i="10"/>
  <c r="F18" i="10"/>
  <c r="E18" i="10"/>
  <c r="D18" i="10"/>
  <c r="C18" i="10" l="1"/>
  <c r="F15" i="13"/>
  <c r="B16" i="10" s="1"/>
  <c r="B18" i="10" s="1"/>
  <c r="I16" i="12"/>
  <c r="H16" i="12"/>
  <c r="G16" i="12"/>
  <c r="F16" i="12"/>
  <c r="E16" i="12"/>
  <c r="B17" i="12"/>
  <c r="B16" i="12"/>
  <c r="D22" i="2"/>
  <c r="C17" i="10"/>
  <c r="B17" i="10"/>
  <c r="B10" i="4"/>
  <c r="B18" i="4"/>
  <c r="B19" i="4"/>
  <c r="K10" i="1" l="1"/>
  <c r="B4" i="8"/>
  <c r="J4" i="4"/>
  <c r="J3" i="4"/>
  <c r="F24" i="7"/>
  <c r="F23" i="7"/>
  <c r="B25" i="12" l="1"/>
  <c r="E25" i="12" s="1"/>
  <c r="B29" i="12"/>
  <c r="E29" i="12" s="1"/>
  <c r="B15" i="12"/>
  <c r="B14" i="12"/>
  <c r="B24" i="12"/>
  <c r="E24" i="12" s="1"/>
  <c r="D12" i="12"/>
  <c r="D6" i="12"/>
  <c r="D17" i="12" s="1"/>
  <c r="C12" i="12"/>
  <c r="C10" i="12"/>
  <c r="C8" i="12"/>
  <c r="C7" i="12"/>
  <c r="B13" i="12"/>
  <c r="B12" i="12"/>
  <c r="B11" i="12"/>
  <c r="B10" i="12"/>
  <c r="B9" i="12"/>
  <c r="B8" i="12"/>
  <c r="B7" i="12"/>
  <c r="B6" i="12"/>
  <c r="B5" i="12"/>
  <c r="B4" i="12"/>
  <c r="C26" i="12"/>
  <c r="C17" i="12" l="1"/>
  <c r="F4" i="12"/>
  <c r="E4" i="12"/>
  <c r="F8" i="12"/>
  <c r="G8" i="12" s="1"/>
  <c r="H8" i="12" s="1"/>
  <c r="I8" i="12" s="1"/>
  <c r="E8" i="12"/>
  <c r="F12" i="12"/>
  <c r="G12" i="12" s="1"/>
  <c r="H12" i="12" s="1"/>
  <c r="I12" i="12" s="1"/>
  <c r="E12" i="12"/>
  <c r="E15" i="12"/>
  <c r="F15" i="12"/>
  <c r="G15" i="12" s="1"/>
  <c r="H15" i="12" s="1"/>
  <c r="F5" i="12"/>
  <c r="E5" i="12"/>
  <c r="F9" i="12"/>
  <c r="G9" i="12" s="1"/>
  <c r="H9" i="12" s="1"/>
  <c r="I9" i="12" s="1"/>
  <c r="E9" i="12"/>
  <c r="F13" i="12"/>
  <c r="E13" i="12"/>
  <c r="E6" i="12"/>
  <c r="F6" i="12"/>
  <c r="E10" i="12"/>
  <c r="F10" i="12"/>
  <c r="E7" i="12"/>
  <c r="F7" i="12"/>
  <c r="G7" i="12" s="1"/>
  <c r="H7" i="12" s="1"/>
  <c r="I7" i="12" s="1"/>
  <c r="E11" i="12"/>
  <c r="F11" i="12"/>
  <c r="E14" i="12"/>
  <c r="F14" i="12"/>
  <c r="G14" i="12" s="1"/>
  <c r="H14" i="12" s="1"/>
  <c r="F24" i="12"/>
  <c r="G24" i="12" s="1"/>
  <c r="H24" i="12" s="1"/>
  <c r="B26" i="12"/>
  <c r="G10" i="12"/>
  <c r="H10" i="12" s="1"/>
  <c r="I10" i="12" s="1"/>
  <c r="G11" i="12"/>
  <c r="H11" i="12" s="1"/>
  <c r="I11" i="12" s="1"/>
  <c r="G13" i="12"/>
  <c r="H13" i="12" s="1"/>
  <c r="I13" i="12" s="1"/>
  <c r="G5" i="12"/>
  <c r="H5" i="12" s="1"/>
  <c r="I5" i="12" s="1"/>
  <c r="F29" i="12"/>
  <c r="G29" i="12" s="1"/>
  <c r="H29" i="12" s="1"/>
  <c r="H30" i="12" s="1"/>
  <c r="I13" i="4"/>
  <c r="H13" i="4"/>
  <c r="G13" i="4"/>
  <c r="F13" i="4"/>
  <c r="E13" i="4"/>
  <c r="D13" i="4"/>
  <c r="C28" i="2"/>
  <c r="C27" i="2"/>
  <c r="D28" i="2"/>
  <c r="D27" i="2"/>
  <c r="E17" i="12" l="1"/>
  <c r="G6" i="12"/>
  <c r="F17" i="12"/>
  <c r="B34" i="12"/>
  <c r="I15" i="12"/>
  <c r="I14" i="12"/>
  <c r="G4" i="12"/>
  <c r="F25" i="12"/>
  <c r="F26" i="12" s="1"/>
  <c r="E26" i="12"/>
  <c r="C34" i="12"/>
  <c r="I9" i="7"/>
  <c r="I11" i="7"/>
  <c r="I12" i="7" s="1"/>
  <c r="I15" i="7" l="1"/>
  <c r="H6" i="12"/>
  <c r="G17" i="12"/>
  <c r="F34" i="12" s="1"/>
  <c r="P6" i="9" s="1"/>
  <c r="G25" i="12"/>
  <c r="H25" i="12" s="1"/>
  <c r="H26" i="12" s="1"/>
  <c r="H27" i="12" s="1"/>
  <c r="H4" i="12"/>
  <c r="G11" i="7"/>
  <c r="G8" i="7"/>
  <c r="G7" i="7"/>
  <c r="G6" i="7"/>
  <c r="G5" i="7"/>
  <c r="G4" i="7"/>
  <c r="D9" i="7"/>
  <c r="P4" i="9" s="1"/>
  <c r="K17" i="12" l="1"/>
  <c r="I6" i="12"/>
  <c r="I17" i="12" s="1"/>
  <c r="H17" i="12"/>
  <c r="P7" i="9" s="1"/>
  <c r="G9" i="7"/>
  <c r="F16" i="1" s="1"/>
  <c r="G26" i="12"/>
  <c r="P8" i="9" s="1"/>
  <c r="I4" i="12"/>
  <c r="C16" i="1"/>
  <c r="D10" i="7"/>
  <c r="H10" i="7" s="1"/>
  <c r="J17" i="12" l="1"/>
  <c r="G10" i="7"/>
  <c r="G12" i="7" s="1"/>
  <c r="F17" i="1" s="1"/>
  <c r="D25" i="12"/>
  <c r="D26" i="12" s="1"/>
  <c r="D34" i="12" s="1"/>
  <c r="D36" i="12" s="1"/>
  <c r="H19" i="12"/>
  <c r="H34" i="12" s="1"/>
  <c r="G34" i="12"/>
  <c r="E10" i="7"/>
  <c r="D12" i="7"/>
  <c r="P5" i="9" s="1"/>
  <c r="D13" i="7"/>
  <c r="M15" i="7"/>
  <c r="L15" i="7"/>
  <c r="C15" i="7"/>
  <c r="E8" i="7"/>
  <c r="J8" i="7"/>
  <c r="K7" i="7"/>
  <c r="K6" i="7"/>
  <c r="E7" i="7"/>
  <c r="E5" i="7"/>
  <c r="E4" i="7"/>
  <c r="E6" i="7"/>
  <c r="O28" i="2"/>
  <c r="N28" i="2"/>
  <c r="M28" i="2"/>
  <c r="L28" i="2"/>
  <c r="C20" i="2" l="1"/>
  <c r="C22" i="2" s="1"/>
  <c r="B35" i="12"/>
  <c r="B37" i="12" s="1"/>
  <c r="G15" i="7"/>
  <c r="H20" i="12"/>
  <c r="H36" i="12" s="1"/>
  <c r="C17" i="1"/>
  <c r="D15" i="7"/>
  <c r="E15" i="7"/>
  <c r="K28" i="2"/>
  <c r="O27" i="2"/>
  <c r="N27" i="2"/>
  <c r="M27" i="2"/>
  <c r="L27" i="2"/>
  <c r="K27" i="2"/>
  <c r="C23" i="11" l="1"/>
  <c r="D31" i="7" l="1"/>
  <c r="D30" i="7"/>
  <c r="R11" i="7" l="1"/>
  <c r="R10" i="7"/>
  <c r="U7" i="7" l="1"/>
  <c r="B12" i="11"/>
  <c r="B11" i="11" l="1"/>
  <c r="E11" i="11" s="1"/>
  <c r="F11" i="11" s="1"/>
  <c r="B21" i="11"/>
  <c r="B13" i="11"/>
  <c r="E13" i="11" s="1"/>
  <c r="B10" i="11"/>
  <c r="B9" i="11"/>
  <c r="B8" i="11"/>
  <c r="B7" i="11"/>
  <c r="B6" i="11"/>
  <c r="B5" i="11"/>
  <c r="B4" i="11"/>
  <c r="E4" i="11" s="1"/>
  <c r="F4" i="11" l="1"/>
  <c r="G4" i="11" s="1"/>
  <c r="F13" i="11"/>
  <c r="G13" i="11" s="1"/>
  <c r="H13" i="11" s="1"/>
  <c r="G11" i="11"/>
  <c r="H11" i="11" s="1"/>
  <c r="E5" i="11"/>
  <c r="F5" i="11" s="1"/>
  <c r="E9" i="11"/>
  <c r="F9" i="11" s="1"/>
  <c r="E10" i="11"/>
  <c r="F10" i="11" s="1"/>
  <c r="B14" i="11"/>
  <c r="E21" i="11"/>
  <c r="K4" i="7"/>
  <c r="K15" i="7" s="1"/>
  <c r="H15" i="11" l="1"/>
  <c r="G9" i="11"/>
  <c r="H9" i="11" s="1"/>
  <c r="G5" i="11"/>
  <c r="H5" i="11" s="1"/>
  <c r="G10" i="11"/>
  <c r="H10" i="11" s="1"/>
  <c r="F21" i="11"/>
  <c r="I20" i="2"/>
  <c r="G20" i="2"/>
  <c r="W7" i="7"/>
  <c r="W6" i="7"/>
  <c r="U10" i="7"/>
  <c r="T10" i="7"/>
  <c r="W13" i="7" l="1"/>
  <c r="B30" i="11" s="1"/>
  <c r="W10" i="7"/>
  <c r="W14" i="7" s="1"/>
  <c r="D22" i="11"/>
  <c r="D23" i="11" s="1"/>
  <c r="G21" i="11"/>
  <c r="H21" i="11" s="1"/>
  <c r="H4" i="11"/>
  <c r="W15" i="7" l="1"/>
  <c r="E20" i="2" s="1"/>
  <c r="C12" i="4"/>
  <c r="K6" i="1" s="1"/>
  <c r="B7" i="1"/>
  <c r="G7" i="1" s="1"/>
  <c r="K3" i="1"/>
  <c r="B3" i="1"/>
  <c r="G3" i="1" s="1"/>
  <c r="K9" i="1"/>
  <c r="B9" i="1"/>
  <c r="G9" i="1" s="1"/>
  <c r="B10" i="1"/>
  <c r="G10" i="1" s="1"/>
  <c r="B14" i="4"/>
  <c r="B13" i="4"/>
  <c r="B5" i="1" s="1"/>
  <c r="G5" i="1" s="1"/>
  <c r="B12" i="4"/>
  <c r="C10" i="4"/>
  <c r="K7" i="1" s="1"/>
  <c r="C7" i="4"/>
  <c r="C13" i="4" s="1"/>
  <c r="K5" i="1" s="1"/>
  <c r="H17" i="10"/>
  <c r="F17" i="10"/>
  <c r="D17" i="10"/>
  <c r="P9" i="1" l="1"/>
  <c r="O9" i="1"/>
  <c r="K12" i="1"/>
  <c r="C14" i="4"/>
  <c r="C15" i="4"/>
  <c r="B15" i="4"/>
  <c r="B6" i="1"/>
  <c r="G6" i="1" s="1"/>
  <c r="G12" i="1" s="1"/>
  <c r="O12" i="1" l="1"/>
  <c r="P12" i="1"/>
  <c r="Q14" i="7"/>
  <c r="B17" i="1" s="1"/>
  <c r="Q13" i="7"/>
  <c r="B16" i="1" s="1"/>
  <c r="T8" i="7"/>
  <c r="Q15" i="7" l="1"/>
  <c r="L10" i="1"/>
  <c r="M10" i="1"/>
  <c r="N10" i="1"/>
  <c r="C5" i="8"/>
  <c r="C10" i="1" s="1"/>
  <c r="H10" i="1" s="1"/>
  <c r="D5" i="8"/>
  <c r="D10" i="1" s="1"/>
  <c r="I10" i="1" s="1"/>
  <c r="E5" i="8"/>
  <c r="E10" i="1" s="1"/>
  <c r="J10" i="1" s="1"/>
  <c r="F5" i="8"/>
  <c r="V10" i="7" l="1"/>
  <c r="J10" i="7" s="1"/>
  <c r="B22" i="11" s="1"/>
  <c r="B23" i="11" s="1"/>
  <c r="V7" i="7"/>
  <c r="J7" i="7" s="1"/>
  <c r="V5" i="7"/>
  <c r="J5" i="7" s="1"/>
  <c r="V4" i="7"/>
  <c r="J4" i="7" s="1"/>
  <c r="U11" i="7"/>
  <c r="T11" i="7"/>
  <c r="T14" i="7" s="1"/>
  <c r="U8" i="7"/>
  <c r="C12" i="11" s="1"/>
  <c r="T7" i="7"/>
  <c r="U6" i="7"/>
  <c r="T6" i="7"/>
  <c r="U5" i="7"/>
  <c r="C8" i="11" s="1"/>
  <c r="E8" i="11" s="1"/>
  <c r="T5" i="7"/>
  <c r="U4" i="7"/>
  <c r="C7" i="11" s="1"/>
  <c r="T4" i="7"/>
  <c r="F8" i="11" l="1"/>
  <c r="G8" i="11" s="1"/>
  <c r="H8" i="11" s="1"/>
  <c r="E7" i="11"/>
  <c r="C14" i="11"/>
  <c r="D6" i="11"/>
  <c r="D12" i="11"/>
  <c r="E12" i="11" s="1"/>
  <c r="E22" i="11"/>
  <c r="E23" i="11" s="1"/>
  <c r="U14" i="7"/>
  <c r="E17" i="1" s="1"/>
  <c r="T13" i="7"/>
  <c r="T15" i="7" s="1"/>
  <c r="U13" i="7"/>
  <c r="F7" i="11" l="1"/>
  <c r="G7" i="11" s="1"/>
  <c r="H7" i="11" s="1"/>
  <c r="F12" i="11"/>
  <c r="G12" i="11" s="1"/>
  <c r="H12" i="11" s="1"/>
  <c r="D14" i="11"/>
  <c r="D29" i="11" s="1"/>
  <c r="E6" i="11"/>
  <c r="F6" i="11" s="1"/>
  <c r="F22" i="11"/>
  <c r="F23" i="11" s="1"/>
  <c r="U15" i="7"/>
  <c r="G22" i="11" l="1"/>
  <c r="E14" i="11"/>
  <c r="D14" i="4"/>
  <c r="F14" i="4"/>
  <c r="H14" i="4"/>
  <c r="H22" i="11" l="1"/>
  <c r="H23" i="11" s="1"/>
  <c r="G23" i="11"/>
  <c r="G6" i="11"/>
  <c r="F14" i="11"/>
  <c r="J14" i="11" s="1"/>
  <c r="E10" i="4"/>
  <c r="G10" i="4"/>
  <c r="M7" i="1" s="1"/>
  <c r="I10" i="4"/>
  <c r="C7" i="1"/>
  <c r="H7" i="1" s="1"/>
  <c r="D7" i="1"/>
  <c r="I7" i="1" s="1"/>
  <c r="E7" i="1"/>
  <c r="J7" i="1" s="1"/>
  <c r="H6" i="11" l="1"/>
  <c r="H14" i="11" s="1"/>
  <c r="H16" i="11" s="1"/>
  <c r="G14" i="11"/>
  <c r="I14" i="11" s="1"/>
  <c r="E17" i="10"/>
  <c r="E14" i="4"/>
  <c r="L7" i="1"/>
  <c r="I17" i="10"/>
  <c r="I14" i="4"/>
  <c r="N7" i="1"/>
  <c r="G17" i="10"/>
  <c r="G14" i="4"/>
  <c r="B19" i="1"/>
  <c r="H17" i="11" l="1"/>
  <c r="C5" i="1"/>
  <c r="H5" i="1" s="1"/>
  <c r="E12" i="4"/>
  <c r="G12" i="4"/>
  <c r="I12" i="4"/>
  <c r="D12" i="4"/>
  <c r="F12" i="4"/>
  <c r="H12" i="4"/>
  <c r="M4" i="4"/>
  <c r="I7" i="4" s="1"/>
  <c r="K4" i="4"/>
  <c r="E7" i="4" s="1"/>
  <c r="L4" i="4"/>
  <c r="G7" i="4" s="1"/>
  <c r="K3" i="4"/>
  <c r="L3" i="4"/>
  <c r="M3" i="4"/>
  <c r="G12" i="2"/>
  <c r="G22" i="2" s="1"/>
  <c r="I12" i="2"/>
  <c r="I22" i="2" s="1"/>
  <c r="E12" i="2"/>
  <c r="K15" i="2"/>
  <c r="K14" i="2"/>
  <c r="K13" i="2"/>
  <c r="K10" i="2"/>
  <c r="K9" i="2"/>
  <c r="K8" i="2"/>
  <c r="K7" i="2"/>
  <c r="K6" i="2"/>
  <c r="B26" i="11" l="1"/>
  <c r="E26" i="11" s="1"/>
  <c r="E22" i="2"/>
  <c r="N6" i="1"/>
  <c r="I15" i="4"/>
  <c r="C6" i="1"/>
  <c r="H6" i="1" s="1"/>
  <c r="D15" i="4"/>
  <c r="E6" i="1"/>
  <c r="J6" i="1" s="1"/>
  <c r="H15" i="4"/>
  <c r="M6" i="1"/>
  <c r="G15" i="4"/>
  <c r="D6" i="1"/>
  <c r="I6" i="1" s="1"/>
  <c r="F15" i="4"/>
  <c r="L6" i="1"/>
  <c r="E15" i="4"/>
  <c r="K12" i="2"/>
  <c r="D5" i="1"/>
  <c r="I5" i="1" s="1"/>
  <c r="E5" i="1"/>
  <c r="J5" i="1" s="1"/>
  <c r="F26" i="11" l="1"/>
  <c r="G26" i="11" s="1"/>
  <c r="E29" i="11"/>
  <c r="L5" i="1"/>
  <c r="M5" i="1"/>
  <c r="N5" i="1"/>
  <c r="H26" i="11" l="1"/>
  <c r="G29" i="11"/>
  <c r="F22" i="2"/>
  <c r="H22" i="2"/>
  <c r="M3" i="1" s="1"/>
  <c r="J22" i="2"/>
  <c r="N3" i="1" s="1"/>
  <c r="P3" i="1" s="1"/>
  <c r="L9" i="1"/>
  <c r="M9" i="1"/>
  <c r="N9" i="1"/>
  <c r="C9" i="1"/>
  <c r="H9" i="1" s="1"/>
  <c r="D9" i="1"/>
  <c r="I9" i="1" s="1"/>
  <c r="E9" i="1"/>
  <c r="J9" i="1" s="1"/>
  <c r="D3" i="1"/>
  <c r="I3" i="1" s="1"/>
  <c r="E3" i="1"/>
  <c r="J3" i="1" s="1"/>
  <c r="K5" i="2"/>
  <c r="K4" i="2"/>
  <c r="K3" i="2"/>
  <c r="H27" i="11" l="1"/>
  <c r="H29" i="11"/>
  <c r="J12" i="1"/>
  <c r="I12" i="1"/>
  <c r="L3" i="1"/>
  <c r="O3" i="1" s="1"/>
  <c r="M12" i="1"/>
  <c r="V6" i="7" l="1"/>
  <c r="J6" i="7" s="1"/>
  <c r="J15" i="7" s="1"/>
  <c r="L12" i="1"/>
  <c r="N12" i="1"/>
  <c r="V15" i="7" l="1"/>
  <c r="U16" i="7" s="1"/>
  <c r="K22" i="2"/>
  <c r="C3" i="1"/>
  <c r="H3" i="1" s="1"/>
  <c r="F19" i="1"/>
  <c r="H12" i="1" l="1"/>
  <c r="H19" i="1"/>
  <c r="E16" i="1"/>
  <c r="E19" i="1" s="1"/>
  <c r="C19" i="1"/>
  <c r="G19" i="1" l="1"/>
  <c r="I19" i="1"/>
  <c r="H24" i="11"/>
  <c r="H31" i="11" l="1"/>
  <c r="F29" i="11"/>
  <c r="P10" i="9" l="1"/>
  <c r="Q6" i="9" s="1"/>
  <c r="Q4" i="9" l="1"/>
  <c r="Q8" i="9"/>
  <c r="Q7" i="9"/>
  <c r="Q5" i="9"/>
  <c r="Q10" i="9" l="1"/>
  <c r="B29" i="11"/>
  <c r="B32" i="11" s="1"/>
  <c r="C29" i="11"/>
  <c r="D31" i="11" s="1"/>
</calcChain>
</file>

<file path=xl/sharedStrings.xml><?xml version="1.0" encoding="utf-8"?>
<sst xmlns="http://schemas.openxmlformats.org/spreadsheetml/2006/main" count="455" uniqueCount="314">
  <si>
    <t>Transportation</t>
  </si>
  <si>
    <t xml:space="preserve">    diesel (gal)</t>
  </si>
  <si>
    <t xml:space="preserve">    natural gas (therms)</t>
  </si>
  <si>
    <t xml:space="preserve">    propane (gal)</t>
  </si>
  <si>
    <t>Total</t>
  </si>
  <si>
    <t>Million BTUs</t>
  </si>
  <si>
    <t>%</t>
  </si>
  <si>
    <t>kW dc</t>
  </si>
  <si>
    <t>Location</t>
  </si>
  <si>
    <t>Address</t>
  </si>
  <si>
    <t>2017kWh</t>
  </si>
  <si>
    <t>2018kWh</t>
  </si>
  <si>
    <t>2017 Therms</t>
  </si>
  <si>
    <t>2018 Therms</t>
  </si>
  <si>
    <t>2019 Therms</t>
  </si>
  <si>
    <t>2017 NG expense</t>
  </si>
  <si>
    <t>Electric Service</t>
  </si>
  <si>
    <t>Meter #</t>
  </si>
  <si>
    <t>Washburn Highway Garage</t>
  </si>
  <si>
    <t>Forestry Bldg</t>
  </si>
  <si>
    <t>Cable Garage</t>
  </si>
  <si>
    <t>43645 Kavanaugh Rd., Cable, WI</t>
  </si>
  <si>
    <t>Port Wing Garage</t>
  </si>
  <si>
    <t>8705 State Highway 13, Port Wing, WI</t>
  </si>
  <si>
    <t>Iron River Garage</t>
  </si>
  <si>
    <t>8205 US Highway 2, Iron River, WI</t>
  </si>
  <si>
    <t>Mason Station</t>
  </si>
  <si>
    <t>24990 County Highway E., Mason, WI</t>
  </si>
  <si>
    <t>Site</t>
  </si>
  <si>
    <t>Type</t>
  </si>
  <si>
    <t>kWh/kW/yr</t>
  </si>
  <si>
    <t>Average Electric  Rate</t>
  </si>
  <si>
    <t>1st yr savings</t>
  </si>
  <si>
    <t>Annual Generation kWh</t>
  </si>
  <si>
    <t>Note</t>
  </si>
  <si>
    <t>on-site</t>
  </si>
  <si>
    <t>off-site</t>
  </si>
  <si>
    <t>Xcel Community Solar</t>
  </si>
  <si>
    <t>Sheriff's Department</t>
  </si>
  <si>
    <t>Sm Gen Svc</t>
  </si>
  <si>
    <t>2019 All-in Cost Electrcity</t>
  </si>
  <si>
    <t>2019 All-in Cost Per KWH</t>
  </si>
  <si>
    <t>2019 NG expense</t>
  </si>
  <si>
    <t>Gen TOD</t>
  </si>
  <si>
    <t>2018 All-in Cost Electrcity</t>
  </si>
  <si>
    <t>Includes comm. Solar credit, starts Aug 2018</t>
  </si>
  <si>
    <t>2017 All-in Cost Electrcity</t>
  </si>
  <si>
    <t>2018 NG expense</t>
  </si>
  <si>
    <t>Fairgounds</t>
  </si>
  <si>
    <t>Courthouse</t>
  </si>
  <si>
    <t>7080 N Main St, Iron River</t>
  </si>
  <si>
    <t>117 E 5th St, Washburn</t>
  </si>
  <si>
    <t>34425 Fire Tower Rd, Bayfield</t>
  </si>
  <si>
    <t>380 1st Ave E, Washburn</t>
  </si>
  <si>
    <t>311 Central Ave, Washburn</t>
  </si>
  <si>
    <t>Premise #</t>
  </si>
  <si>
    <t>Highway C</t>
  </si>
  <si>
    <t>Highway E (Mason Station)</t>
  </si>
  <si>
    <t>Jail</t>
  </si>
  <si>
    <t>615 N 2nd Ave E</t>
  </si>
  <si>
    <t>Electric Utility</t>
  </si>
  <si>
    <t>Xcel</t>
  </si>
  <si>
    <t>BEC</t>
  </si>
  <si>
    <t>PV attached to this meter starting 10.1.2018</t>
  </si>
  <si>
    <t>Two meters/buildings at this location</t>
  </si>
  <si>
    <t>Xcel data adjusted to 12 month intervals</t>
  </si>
  <si>
    <t>2017 Cost</t>
  </si>
  <si>
    <t>2018 Cost</t>
  </si>
  <si>
    <t>2019 Cost</t>
  </si>
  <si>
    <t>Renewable*Connect</t>
  </si>
  <si>
    <t>Community Solar</t>
  </si>
  <si>
    <t>kWh</t>
  </si>
  <si>
    <t>Total Electric Usage</t>
  </si>
  <si>
    <t>Self-generated Solar PV</t>
  </si>
  <si>
    <t>Highway Fleet</t>
  </si>
  <si>
    <t>2017 gallons</t>
  </si>
  <si>
    <t>2018 gallons</t>
  </si>
  <si>
    <t>2019 gallons</t>
  </si>
  <si>
    <t>2017 $</t>
  </si>
  <si>
    <t>2018 $</t>
  </si>
  <si>
    <t>2019 $</t>
  </si>
  <si>
    <t>unleaded fuel</t>
  </si>
  <si>
    <t>diesel fuel</t>
  </si>
  <si>
    <t>County Fleet</t>
  </si>
  <si>
    <t>08B26009</t>
  </si>
  <si>
    <t>Includes comm. Solar credit, starts pre 2017</t>
  </si>
  <si>
    <t>Russell Garage</t>
  </si>
  <si>
    <t>Xcel/BEC</t>
  </si>
  <si>
    <t>Electricity is BEC/NG is Xcel</t>
  </si>
  <si>
    <t>RSC</t>
  </si>
  <si>
    <t>NA</t>
  </si>
  <si>
    <t>Xcel/Dahlberg</t>
  </si>
  <si>
    <t>Electricity is Dahlberg/NG is Xcel</t>
  </si>
  <si>
    <t>GS-1</t>
  </si>
  <si>
    <t>CNG (gasoline gal equiv)</t>
  </si>
  <si>
    <t>2017 Price/gallon</t>
  </si>
  <si>
    <t>2018 Price/gallon</t>
  </si>
  <si>
    <t>2019 Price/gallon</t>
  </si>
  <si>
    <t>unleaded total</t>
  </si>
  <si>
    <t>diesel total</t>
  </si>
  <si>
    <t xml:space="preserve">    gasoline (gal)</t>
  </si>
  <si>
    <t>2019 Million BTUs</t>
  </si>
  <si>
    <t>2017 Million BTUs</t>
  </si>
  <si>
    <t>2018 Million BTUs</t>
  </si>
  <si>
    <t>Mason Station (see note)</t>
  </si>
  <si>
    <t>Includes comm. solar credit, starts Aug 2018</t>
  </si>
  <si>
    <t xml:space="preserve">Solar PV generation not credited in 2019 (will credit in 2020) </t>
  </si>
  <si>
    <t>CNG</t>
  </si>
  <si>
    <t>CNG therms</t>
  </si>
  <si>
    <t xml:space="preserve">    CNG (therms)</t>
  </si>
  <si>
    <t>Heating</t>
  </si>
  <si>
    <t>Conversion Factor to BTU's</t>
  </si>
  <si>
    <t>Renewable Energy Generation</t>
  </si>
  <si>
    <t>Bayfield County Fleet Fuel</t>
  </si>
  <si>
    <t>~This is necessary because buildings use solar generated electricity before any excess goes to the grid.  If you just use the electric meter for usage, you are not showing the full kWhs used.</t>
  </si>
  <si>
    <t>~Not showing the full building usage would skew numbers like the percentage of electricity that comes from renewable sources</t>
  </si>
  <si>
    <t>~This tracking spreadsheet will likely evolve to include data from the Jail and Washburn Garage eGauge data.</t>
  </si>
  <si>
    <t>READ ME FILE</t>
  </si>
  <si>
    <t>~The solar generation numbers can be found through the inverter's web-based software</t>
  </si>
  <si>
    <t>~The Forestry Building had solar generation in 2019 but was not credited to the electric bill.  This was corrected in Jan/Feb 2020</t>
  </si>
  <si>
    <t>2019 kWh Total Usage</t>
  </si>
  <si>
    <t xml:space="preserve">2020 Estimate kWh Purchase </t>
  </si>
  <si>
    <t>Round</t>
  </si>
  <si>
    <t>Renewable*Connect Annual cost at $.59/100kWh</t>
  </si>
  <si>
    <t>Xcel Renewable*Connect Program Details</t>
  </si>
  <si>
    <t>kWh to Offset in Renewable*Connect</t>
  </si>
  <si>
    <t>Grand Total</t>
  </si>
  <si>
    <t>Onsite solar PV (kW dc)</t>
  </si>
  <si>
    <t>kWh not covered in Xcel Renewable*Connect Program - BEC &amp; Dahlberg</t>
  </si>
  <si>
    <t>Estimated Onsite 2020 Solar Generation</t>
  </si>
  <si>
    <t>Community Solar Generation</t>
  </si>
  <si>
    <t>kWh to Offset in Other Programs</t>
  </si>
  <si>
    <t>BEC/Dahlberg RE in Generation Mix (24%)</t>
  </si>
  <si>
    <t>Other Utility Green Program</t>
  </si>
  <si>
    <t>2019 - % Electricity from Solar</t>
  </si>
  <si>
    <t>Propane Delivered</t>
  </si>
  <si>
    <t>Unit Cost</t>
  </si>
  <si>
    <t>Gallons Purchased</t>
  </si>
  <si>
    <t>Carbon-free Electrcity</t>
  </si>
  <si>
    <t>Carbon-free energy in utility generation mix</t>
  </si>
  <si>
    <t>Bayfield County Path to 100% Carbon-free Electricity</t>
  </si>
  <si>
    <t>Dairyland Power's Evergreen Program annual cost at $1.00/100kWh</t>
  </si>
  <si>
    <t>On-site Solar</t>
  </si>
  <si>
    <t>Off-site Solar</t>
  </si>
  <si>
    <t>Offsite Community Solar</t>
  </si>
  <si>
    <t>2019 kWh on electric bill</t>
  </si>
  <si>
    <t>2019 Total kWh Building Used</t>
  </si>
  <si>
    <t>2020 Total kWh Building Used</t>
  </si>
  <si>
    <t>2020 Therms</t>
  </si>
  <si>
    <t>2020 NG expense</t>
  </si>
  <si>
    <t>2020 All-in Cost Electrcity</t>
  </si>
  <si>
    <t>2020 gallons</t>
  </si>
  <si>
    <r>
      <t xml:space="preserve">2020 </t>
    </r>
    <r>
      <rPr>
        <u/>
        <sz val="11"/>
        <color theme="1"/>
        <rFont val="Calibri"/>
        <family val="2"/>
        <scheme val="minor"/>
      </rPr>
      <t>$</t>
    </r>
  </si>
  <si>
    <t>2020 Price/gallon</t>
  </si>
  <si>
    <t>2020 Million BTUs</t>
  </si>
  <si>
    <t>2020 Cost</t>
  </si>
  <si>
    <t>Note: This data is totaled from other sheets in this Workbook. Don't enter things here!</t>
  </si>
  <si>
    <t>Bayfield County, WI Renewable Electricity</t>
  </si>
  <si>
    <t>Bayfield County Electric Meter Data</t>
  </si>
  <si>
    <t>~BEC subtracts kWh of community solar generation from bill.  Xcel does not, rather gives dollar amount credit.  For full building usage, need to add BEC commuity solar generation to Russel Garage.</t>
  </si>
  <si>
    <t>Solar generation not included in electric bills</t>
  </si>
  <si>
    <t>2019 Solar Generation in addition to kWh on Electric Bills</t>
  </si>
  <si>
    <t>2019 Total Building Usage</t>
  </si>
  <si>
    <t>Total Solar Generation</t>
  </si>
  <si>
    <t>Note: BEC subtracts community solar generation from kWh used.  Full 2019 usage at Russell Garage equals 8669 + 4246 (see Renewable Electricity Tab)</t>
  </si>
  <si>
    <t>2019kWh on Electric bills</t>
  </si>
  <si>
    <t>2020kWh on Electric bills</t>
  </si>
  <si>
    <t>~In 2019 Mason Station was the only onsite solar generation in 2019 reflected on a utility bill.  Small Jail PV was absorbed behind the meter and,</t>
  </si>
  <si>
    <t>~I could not find Dahlberg's renewable energy percentage in their generation mix.  They are a disribution utility and likely buy their electricity from MISO.  I used 24% as a placeholder, but it is statistically insignificant.</t>
  </si>
  <si>
    <t>~Xcel's History Report numbers to not match electric bills.  This has been reconciled through a spreadsheet called "Compare Bills to History Report".  All the numbers are correct, they are just summing different things. Check it out.</t>
  </si>
  <si>
    <t>2019 kWh Total Usage on Electric bill</t>
  </si>
  <si>
    <r>
      <t xml:space="preserve">Estimated </t>
    </r>
    <r>
      <rPr>
        <i/>
        <sz val="11"/>
        <color theme="1"/>
        <rFont val="Calibri"/>
        <family val="2"/>
        <scheme val="minor"/>
      </rPr>
      <t>New</t>
    </r>
    <r>
      <rPr>
        <sz val="11"/>
        <color theme="1"/>
        <rFont val="Calibri"/>
        <family val="2"/>
        <scheme val="minor"/>
      </rPr>
      <t xml:space="preserve"> Onsite 2020 Solar Generation</t>
    </r>
  </si>
  <si>
    <t>Maximum kWh that could be offset in Renew*Conn. Program</t>
  </si>
  <si>
    <t>Additional kWh County wants to offset</t>
  </si>
  <si>
    <t>Total to Offset in Renewable*Connect Program</t>
  </si>
  <si>
    <t>2019 Solar Gen. Behind Meter</t>
  </si>
  <si>
    <t>Total 2019 kWh Building Use</t>
  </si>
  <si>
    <t>Propane Entry Form</t>
  </si>
  <si>
    <t>Notes:</t>
  </si>
  <si>
    <t>BEC Community Solar</t>
  </si>
  <si>
    <t>2020 kWh/kw</t>
  </si>
  <si>
    <t>2019 kWh/kw</t>
  </si>
  <si>
    <t>2018 kWh/kw</t>
  </si>
  <si>
    <t>2017 kWh/kw</t>
  </si>
  <si>
    <t>Average</t>
  </si>
  <si>
    <t>Note: Xcel CS- 1103 kWh/kW/yr is from Xcel; 1071 kWh/kW/yr is actual adding 2019 electric bills</t>
  </si>
  <si>
    <t>mWh est.</t>
  </si>
  <si>
    <t>Xcel Community Solar 984 kW dc</t>
  </si>
  <si>
    <t>Cashton Solar Garden 998 kW dc tracking</t>
  </si>
  <si>
    <t>Xcel Carbon-free in Generation Mix (56%)</t>
  </si>
  <si>
    <t>Xcel Total</t>
  </si>
  <si>
    <t>Dairyland Total</t>
  </si>
  <si>
    <t>Arcadia Power Program annual cost at $1.50/100kWh</t>
  </si>
  <si>
    <t>Original Estimates from Xcel/OneEnergy</t>
  </si>
  <si>
    <t>Community Solar Generation Totals</t>
  </si>
  <si>
    <t>BEC CS- gen numbers are downloaded from eGauge</t>
  </si>
  <si>
    <t>% Carbon-free before Renewable*Connect</t>
  </si>
  <si>
    <t>% to offset with Renewable* Connect</t>
  </si>
  <si>
    <t>2019-2020 savings</t>
  </si>
  <si>
    <t>2019-2018 savings</t>
  </si>
  <si>
    <t>2018-2017 savings</t>
  </si>
  <si>
    <t>2020-2017 savings</t>
  </si>
  <si>
    <t>Spider Lake/Fairgounds</t>
  </si>
  <si>
    <t>Grandview Sheriff Storage</t>
  </si>
  <si>
    <t>Washburn EM Tower</t>
  </si>
  <si>
    <t>2020 kWh billed</t>
  </si>
  <si>
    <t>Actual on-site &amp; off-site solar generation</t>
  </si>
  <si>
    <t>Jail pre-2020 (mini solar)</t>
  </si>
  <si>
    <t>Jail, 111kW large solar</t>
  </si>
  <si>
    <t>2020 Solar Generation total (kWh)</t>
  </si>
  <si>
    <t>2020 BEC community Solar:  210kWh/205w share = 1024kWh/kw (210kWh/share came from adding 12 months of bill credits)</t>
  </si>
  <si>
    <t>Proof (match EEF tab E21)</t>
  </si>
  <si>
    <t>Totals</t>
  </si>
  <si>
    <t>2020 Solar Generation</t>
  </si>
  <si>
    <t>Russell Garage (BEC CS)</t>
  </si>
  <si>
    <t xml:space="preserve">            Total on-site solar</t>
  </si>
  <si>
    <t xml:space="preserve">           Total off-site solar</t>
  </si>
  <si>
    <t>Total solar not on bills</t>
  </si>
  <si>
    <t>Conversion factor to BTUs</t>
  </si>
  <si>
    <t>2019 Solar Generation total (kWh)</t>
  </si>
  <si>
    <t>Pre-2020 Estimated solar generation</t>
  </si>
  <si>
    <t>Buildings with on-site or off-site solar</t>
  </si>
  <si>
    <t>Jail 5kW mini solar</t>
  </si>
  <si>
    <t>Jail 111kW large solar</t>
  </si>
  <si>
    <t>~25 shares BEC Comm.Solar is attached to Russell Garage. Generation is subtracted from usage on bill</t>
  </si>
  <si>
    <t>~190kW Xcel Comm.Solar. Generation is not subtracted fromkWh  usage on electric bills, only $ amount</t>
  </si>
  <si>
    <t>Value of Solar 2020</t>
  </si>
  <si>
    <t>2020 - % Electricity from Solar</t>
  </si>
  <si>
    <t>2020 - % Solar PV to Total Energy</t>
  </si>
  <si>
    <t>Summary - Bayfield County Energy Usage in County Owned Facilities</t>
  </si>
  <si>
    <t>2019-2020 $ savings (%)</t>
  </si>
  <si>
    <t>2019 Solar ($)</t>
  </si>
  <si>
    <t>2020 Solar ($)</t>
  </si>
  <si>
    <t>Xcel Renewable*Connect Program Details - 2020 data</t>
  </si>
  <si>
    <r>
      <rPr>
        <i/>
        <sz val="11"/>
        <color theme="1"/>
        <rFont val="Calibri"/>
        <family val="2"/>
        <scheme val="minor"/>
      </rPr>
      <t xml:space="preserve">2020 </t>
    </r>
    <r>
      <rPr>
        <sz val="11"/>
        <color theme="1"/>
        <rFont val="Calibri"/>
        <family val="2"/>
        <scheme val="minor"/>
      </rPr>
      <t>Onsite Solar Generation</t>
    </r>
  </si>
  <si>
    <t>2020 kWh Total Usage on Electric bill</t>
  </si>
  <si>
    <t>2020 kWh Total Usage</t>
  </si>
  <si>
    <t>Onsite 2020 Solar Generation</t>
  </si>
  <si>
    <t>Proof (match RE tab cell C15)</t>
  </si>
  <si>
    <t>Total Est. Solar Generation</t>
  </si>
  <si>
    <t>Proof (match RE tab cell S15)</t>
  </si>
  <si>
    <t>% of Total Usage offset with Renewable* Connect</t>
  </si>
  <si>
    <t>2020 Total Building kWh</t>
  </si>
  <si>
    <t>% Carbon-free before Renewable* Connect</t>
  </si>
  <si>
    <t>Summary</t>
  </si>
  <si>
    <t>Billed Usage</t>
  </si>
  <si>
    <t>Onsite Solar</t>
  </si>
  <si>
    <t>Offsite Solar</t>
  </si>
  <si>
    <t>Carbon-free in Utility mix</t>
  </si>
  <si>
    <t>kWh to offset</t>
  </si>
  <si>
    <t>Total Cost</t>
  </si>
  <si>
    <t>Highway C Garage</t>
  </si>
  <si>
    <t>Summary Solar Electric Generation</t>
  </si>
  <si>
    <t>Jail/Courthouse Details</t>
  </si>
  <si>
    <t>Mason Station (meter with solar)</t>
  </si>
  <si>
    <t>~BEC has a "Green" program that could offset those few kWH, Dahlberg does not. Could use another program like Arcadia Power</t>
  </si>
  <si>
    <t>~Going forward into 2020 and beyond, the onsite solar generation needs to be included in Total (Year) kWh.  For example, solar generation is entered in Renewable Electricity Tab and added in Electricity Entry Tab in cell C19</t>
  </si>
  <si>
    <t>Bayfield County Electric Meter Data (continued)</t>
  </si>
  <si>
    <t>Jail/Courthouse Details (continued)</t>
  </si>
  <si>
    <t>~Xcel community solar 190kW split 140kW courthouse/50kW jail</t>
  </si>
  <si>
    <t>2020 Xcel community solar:  190kW generated 203,850 kWh = 1072.9kWh/kW</t>
  </si>
  <si>
    <t>Chart Data (Updated 2020 data)</t>
  </si>
  <si>
    <t>2020 kWh to offset</t>
  </si>
  <si>
    <t>Electricity (kWh)</t>
  </si>
  <si>
    <t>2017 Usage</t>
  </si>
  <si>
    <t>2018 Usage</t>
  </si>
  <si>
    <t>2019 Usage</t>
  </si>
  <si>
    <t>2020 Usage</t>
  </si>
  <si>
    <t>Therms to gallons</t>
  </si>
  <si>
    <t>Gallons to therms</t>
  </si>
  <si>
    <t>Conv. Factor</t>
  </si>
  <si>
    <t>Ashland WIC (3 county facility)</t>
  </si>
  <si>
    <t>216 3rd St. W. Ashland, WI</t>
  </si>
  <si>
    <t>Proof (match tab EEF cell C22, and ChartCF P10)</t>
  </si>
  <si>
    <t>Ashland WIC</t>
  </si>
  <si>
    <t>2020 Natural Gas Usage - Bayfield County</t>
  </si>
  <si>
    <t>Forestry Therms</t>
  </si>
  <si>
    <t>Forestry $</t>
  </si>
  <si>
    <t>Iron River Garage Therms</t>
  </si>
  <si>
    <t>Iron River Garage $</t>
  </si>
  <si>
    <t>Ashland WIC Therms</t>
  </si>
  <si>
    <t>Ashland WIC $</t>
  </si>
  <si>
    <t>Courthouse Therms</t>
  </si>
  <si>
    <t>Courthouse $</t>
  </si>
  <si>
    <t>Jail Therms</t>
  </si>
  <si>
    <t>Jail $</t>
  </si>
  <si>
    <t>Wash. Hwy. Garage Therms</t>
  </si>
  <si>
    <t>Wash. Hwy. Garage $</t>
  </si>
  <si>
    <t>Jan</t>
  </si>
  <si>
    <t>Feb</t>
  </si>
  <si>
    <t>March</t>
  </si>
  <si>
    <t>April</t>
  </si>
  <si>
    <t>May</t>
  </si>
  <si>
    <t>June</t>
  </si>
  <si>
    <t>July</t>
  </si>
  <si>
    <t>August</t>
  </si>
  <si>
    <t>Sept</t>
  </si>
  <si>
    <t>Oct</t>
  </si>
  <si>
    <t>Nov</t>
  </si>
  <si>
    <t>Dec</t>
  </si>
  <si>
    <r>
      <t xml:space="preserve">Note:  This is a </t>
    </r>
    <r>
      <rPr>
        <b/>
        <sz val="11"/>
        <color theme="1"/>
        <rFont val="Calibri"/>
        <family val="2"/>
        <scheme val="minor"/>
      </rPr>
      <t>summary sheet</t>
    </r>
    <r>
      <rPr>
        <sz val="11"/>
        <color theme="1"/>
        <rFont val="Calibri"/>
        <family val="2"/>
        <scheme val="minor"/>
      </rPr>
      <t>, enter data on Nat. Gas Entry Form, not here.</t>
    </r>
  </si>
  <si>
    <t>2017-2020 $ savings (%)</t>
  </si>
  <si>
    <t>Natrual Gas Summary</t>
  </si>
  <si>
    <t>Degree Days 2020</t>
  </si>
  <si>
    <t>Degree Days 2019</t>
  </si>
  <si>
    <t>Natural Gas Price Month</t>
  </si>
  <si>
    <t>D.days 2020 vs. 2019</t>
  </si>
  <si>
    <t>Price 2020 vs. 2019</t>
  </si>
  <si>
    <t>2020 usage vs. 2019 (therms %)</t>
  </si>
  <si>
    <t>2020 Solar kWh/kW</t>
  </si>
  <si>
    <t>~Values come from folder 2020 Utiity Bill History &amp; Jail/Courthouse Electric Use Data Spreadsheets</t>
  </si>
  <si>
    <t>~BEC 2020 community solar has 210kWh per share</t>
  </si>
  <si>
    <t>2018 gen (kWh)</t>
  </si>
  <si>
    <t>2017 gen (kWh)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</si>
</sst>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0_);[Red]\(&quot;$&quot;#,##0.000\)"/>
    <numFmt numFmtId="165" formatCode="_(* #,##0_);_(* \(#,##0\);_(* &quot;-&quot;??_);_(@_)"/>
    <numFmt numFmtId="166" formatCode="&quot;$&quot;#,##0"/>
    <numFmt numFmtId="167" formatCode="0.0%"/>
    <numFmt numFmtId="168" formatCode="&quot;$&quot;#,##0.00"/>
    <numFmt numFmtId="169" formatCode="_(&quot;$&quot;* #,##0_);_(&quot;$&quot;* \(#,##0\);_(&quot;$&quot;* &quot;-&quot;??_);_(@_)"/>
    <numFmt numFmtId="170" formatCode="&quot;$&quot;#,##0.000000_);[Red]\(&quot;$&quot;#,##0.0000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sz val="11"/>
      <name val="Calibri"/>
      <family val="2"/>
      <scheme val="minor"/>
    </font>
    <font>
      <b/>
      <sz val="12"/>
      <color theme="1"/>
      <name val="Calibri"/>
      <family val="2"/>
      <scheme val="minor"/>
    </font>
    <font>
      <u/>
      <sz val="11"/>
      <color theme="1"/>
      <name val="Calibri"/>
      <family val="2"/>
      <scheme val="minor"/>
    </font>
    <font>
      <i/>
      <sz val="11"/>
      <color theme="1"/>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1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84">
    <xf numFmtId="0" fontId="0" fillId="0" borderId="0" xfId="0"/>
    <xf numFmtId="1" fontId="0" fillId="0" borderId="0" xfId="0" applyNumberFormat="1"/>
    <xf numFmtId="9" fontId="0" fillId="0" borderId="0" xfId="1" applyFont="1"/>
    <xf numFmtId="0" fontId="0" fillId="0" borderId="0" xfId="0" applyAlignment="1">
      <alignment wrapText="1"/>
    </xf>
    <xf numFmtId="0" fontId="2" fillId="0" borderId="0" xfId="0" applyFont="1"/>
    <xf numFmtId="6" fontId="0" fillId="0" borderId="0" xfId="0" applyNumberFormat="1"/>
    <xf numFmtId="1" fontId="0" fillId="0" borderId="0" xfId="0" applyNumberFormat="1" applyAlignment="1">
      <alignment wrapText="1"/>
    </xf>
    <xf numFmtId="0" fontId="0" fillId="0" borderId="0" xfId="0" applyAlignment="1">
      <alignment vertical="center" wrapText="1"/>
    </xf>
    <xf numFmtId="6" fontId="0" fillId="0" borderId="0" xfId="0" applyNumberFormat="1" applyFill="1"/>
    <xf numFmtId="8" fontId="0" fillId="0" borderId="0" xfId="0" applyNumberFormat="1"/>
    <xf numFmtId="3" fontId="0" fillId="0" borderId="0" xfId="0" applyNumberFormat="1"/>
    <xf numFmtId="165" fontId="2" fillId="0" borderId="0" xfId="2" applyNumberFormat="1" applyFont="1"/>
    <xf numFmtId="9" fontId="2" fillId="0" borderId="0" xfId="1" applyFont="1"/>
    <xf numFmtId="9" fontId="0" fillId="0" borderId="0" xfId="0" applyNumberFormat="1"/>
    <xf numFmtId="6" fontId="0" fillId="0" borderId="0" xfId="0" applyNumberFormat="1" applyAlignment="1">
      <alignment wrapText="1"/>
    </xf>
    <xf numFmtId="164" fontId="0" fillId="0" borderId="0" xfId="0" applyNumberFormat="1" applyAlignment="1">
      <alignment wrapText="1"/>
    </xf>
    <xf numFmtId="3" fontId="0" fillId="0" borderId="0" xfId="0" applyNumberFormat="1" applyFill="1"/>
    <xf numFmtId="0" fontId="0" fillId="0" borderId="0" xfId="0" applyAlignment="1">
      <alignment vertical="center"/>
    </xf>
    <xf numFmtId="3" fontId="0" fillId="0" borderId="0" xfId="0" applyNumberFormat="1" applyAlignment="1">
      <alignment vertical="center"/>
    </xf>
    <xf numFmtId="166" fontId="0" fillId="0" borderId="0" xfId="0" applyNumberFormat="1" applyAlignment="1">
      <alignment vertical="center"/>
    </xf>
    <xf numFmtId="3" fontId="4" fillId="0" borderId="0" xfId="0" applyNumberFormat="1" applyFont="1"/>
    <xf numFmtId="6" fontId="5" fillId="0" borderId="0" xfId="0" applyNumberFormat="1" applyFont="1" applyAlignment="1"/>
    <xf numFmtId="6" fontId="4" fillId="0" borderId="0" xfId="0" applyNumberFormat="1" applyFont="1" applyAlignment="1"/>
    <xf numFmtId="3" fontId="5" fillId="0" borderId="0" xfId="0" applyNumberFormat="1" applyFont="1"/>
    <xf numFmtId="38" fontId="0" fillId="0" borderId="0" xfId="0" applyNumberFormat="1"/>
    <xf numFmtId="166" fontId="0" fillId="0" borderId="0" xfId="0" applyNumberFormat="1"/>
    <xf numFmtId="166" fontId="2" fillId="0" borderId="0" xfId="0" applyNumberFormat="1" applyFont="1"/>
    <xf numFmtId="3" fontId="2" fillId="0" borderId="0" xfId="0" applyNumberFormat="1" applyFont="1"/>
    <xf numFmtId="168" fontId="0" fillId="0" borderId="0" xfId="0" applyNumberFormat="1"/>
    <xf numFmtId="0" fontId="8" fillId="0" borderId="0" xfId="0" applyFont="1"/>
    <xf numFmtId="0" fontId="0" fillId="0" borderId="0" xfId="0" applyAlignment="1">
      <alignment horizontal="center"/>
    </xf>
    <xf numFmtId="0" fontId="2" fillId="0" borderId="7" xfId="0" applyFont="1" applyBorder="1"/>
    <xf numFmtId="0" fontId="2" fillId="0" borderId="0" xfId="0" applyFont="1" applyBorder="1"/>
    <xf numFmtId="0" fontId="2" fillId="0" borderId="0" xfId="0" applyFont="1" applyBorder="1" applyAlignment="1">
      <alignment wrapText="1"/>
    </xf>
    <xf numFmtId="0" fontId="2" fillId="0" borderId="8" xfId="0" applyFont="1" applyBorder="1" applyAlignment="1">
      <alignment wrapText="1"/>
    </xf>
    <xf numFmtId="0" fontId="0" fillId="0" borderId="7" xfId="0" applyBorder="1" applyAlignment="1">
      <alignment vertical="center" wrapText="1"/>
    </xf>
    <xf numFmtId="0" fontId="0" fillId="0" borderId="0" xfId="0" applyBorder="1"/>
    <xf numFmtId="8" fontId="0" fillId="0" borderId="0" xfId="0" applyNumberFormat="1" applyBorder="1"/>
    <xf numFmtId="6" fontId="0" fillId="0" borderId="0" xfId="0" applyNumberFormat="1" applyBorder="1"/>
    <xf numFmtId="3" fontId="0" fillId="0" borderId="0" xfId="0" applyNumberFormat="1" applyBorder="1"/>
    <xf numFmtId="3" fontId="0" fillId="0" borderId="0" xfId="0" applyNumberFormat="1" applyFont="1" applyBorder="1" applyAlignment="1">
      <alignment wrapText="1"/>
    </xf>
    <xf numFmtId="3" fontId="0" fillId="0" borderId="8" xfId="0" applyNumberFormat="1" applyFont="1" applyBorder="1" applyAlignment="1">
      <alignment wrapText="1"/>
    </xf>
    <xf numFmtId="0" fontId="0" fillId="0" borderId="7" xfId="0" applyBorder="1"/>
    <xf numFmtId="3" fontId="0" fillId="0" borderId="0" xfId="0" applyNumberFormat="1" applyFont="1" applyFill="1" applyBorder="1" applyAlignment="1">
      <alignment wrapText="1"/>
    </xf>
    <xf numFmtId="3" fontId="0" fillId="0" borderId="8" xfId="0" applyNumberFormat="1" applyFont="1" applyFill="1" applyBorder="1" applyAlignment="1">
      <alignment wrapText="1"/>
    </xf>
    <xf numFmtId="1" fontId="0" fillId="0" borderId="0" xfId="0" applyNumberFormat="1" applyBorder="1"/>
    <xf numFmtId="164" fontId="0" fillId="0" borderId="0" xfId="0" applyNumberFormat="1" applyBorder="1"/>
    <xf numFmtId="0" fontId="0" fillId="0" borderId="8" xfId="0" applyBorder="1"/>
    <xf numFmtId="3" fontId="2" fillId="0" borderId="0" xfId="0" applyNumberFormat="1" applyFont="1" applyBorder="1"/>
    <xf numFmtId="6" fontId="2" fillId="0" borderId="0" xfId="0" applyNumberFormat="1" applyFont="1" applyBorder="1"/>
    <xf numFmtId="165" fontId="2" fillId="0" borderId="0" xfId="2" applyNumberFormat="1" applyFont="1" applyBorder="1"/>
    <xf numFmtId="0" fontId="6" fillId="0" borderId="0" xfId="0" applyFont="1" applyBorder="1" applyAlignment="1">
      <alignment horizontal="center"/>
    </xf>
    <xf numFmtId="0" fontId="0" fillId="0" borderId="0" xfId="0" applyFill="1" applyBorder="1"/>
    <xf numFmtId="166" fontId="0" fillId="0" borderId="0" xfId="0" applyNumberFormat="1" applyBorder="1"/>
    <xf numFmtId="3" fontId="0" fillId="0" borderId="7" xfId="0" applyNumberFormat="1" applyFont="1" applyBorder="1" applyAlignment="1">
      <alignment wrapText="1"/>
    </xf>
    <xf numFmtId="0" fontId="0" fillId="0" borderId="10" xfId="0" applyBorder="1"/>
    <xf numFmtId="0" fontId="0" fillId="0" borderId="5" xfId="0" applyBorder="1"/>
    <xf numFmtId="0" fontId="0" fillId="0" borderId="6" xfId="0" applyBorder="1"/>
    <xf numFmtId="0" fontId="0" fillId="0" borderId="0" xfId="0" applyBorder="1" applyAlignment="1">
      <alignment wrapText="1"/>
    </xf>
    <xf numFmtId="0" fontId="0" fillId="0" borderId="8" xfId="0" applyBorder="1" applyAlignment="1">
      <alignment wrapText="1"/>
    </xf>
    <xf numFmtId="0" fontId="0" fillId="0" borderId="9" xfId="0" applyBorder="1"/>
    <xf numFmtId="0" fontId="2" fillId="0" borderId="5" xfId="0" applyFont="1" applyBorder="1"/>
    <xf numFmtId="0" fontId="2" fillId="0" borderId="6" xfId="0" applyFont="1" applyBorder="1"/>
    <xf numFmtId="1" fontId="0" fillId="0" borderId="8" xfId="0" applyNumberFormat="1" applyBorder="1"/>
    <xf numFmtId="1" fontId="0" fillId="0" borderId="11" xfId="0" applyNumberFormat="1" applyBorder="1"/>
    <xf numFmtId="9" fontId="0" fillId="0" borderId="0" xfId="1" applyFont="1" applyAlignment="1">
      <alignment wrapText="1"/>
    </xf>
    <xf numFmtId="0" fontId="0" fillId="0" borderId="0" xfId="0" applyAlignment="1"/>
    <xf numFmtId="3" fontId="0" fillId="0" borderId="0" xfId="0" applyNumberFormat="1" applyFill="1" applyBorder="1"/>
    <xf numFmtId="0" fontId="4" fillId="0" borderId="0" xfId="0" applyFont="1"/>
    <xf numFmtId="3" fontId="2" fillId="0" borderId="0" xfId="0" applyNumberFormat="1" applyFont="1" applyFill="1" applyBorder="1"/>
    <xf numFmtId="3" fontId="5" fillId="0" borderId="0" xfId="0" applyNumberFormat="1" applyFont="1" applyBorder="1"/>
    <xf numFmtId="0" fontId="2" fillId="0" borderId="5" xfId="0" applyFont="1" applyBorder="1" applyAlignment="1">
      <alignment wrapText="1"/>
    </xf>
    <xf numFmtId="165" fontId="2" fillId="0" borderId="9" xfId="2" applyNumberFormat="1" applyFont="1" applyBorder="1" applyAlignment="1"/>
    <xf numFmtId="165" fontId="2" fillId="0" borderId="10" xfId="2" applyNumberFormat="1" applyFont="1" applyBorder="1" applyAlignment="1"/>
    <xf numFmtId="165" fontId="2" fillId="0" borderId="11" xfId="0" applyNumberFormat="1" applyFont="1" applyBorder="1"/>
    <xf numFmtId="0" fontId="6" fillId="0" borderId="0" xfId="0" applyFont="1" applyBorder="1" applyAlignment="1"/>
    <xf numFmtId="0" fontId="2" fillId="0" borderId="4" xfId="0" applyFont="1" applyBorder="1"/>
    <xf numFmtId="0" fontId="2" fillId="0" borderId="6" xfId="0" applyFont="1" applyBorder="1" applyAlignment="1">
      <alignment wrapText="1"/>
    </xf>
    <xf numFmtId="165" fontId="2" fillId="0" borderId="1" xfId="2" applyNumberFormat="1" applyFont="1" applyBorder="1"/>
    <xf numFmtId="37" fontId="2" fillId="0" borderId="2" xfId="2" applyNumberFormat="1" applyFont="1" applyBorder="1"/>
    <xf numFmtId="37" fontId="2" fillId="0" borderId="3" xfId="2" applyNumberFormat="1" applyFont="1" applyBorder="1"/>
    <xf numFmtId="0" fontId="2" fillId="0" borderId="1" xfId="0" applyFont="1" applyBorder="1"/>
    <xf numFmtId="0" fontId="2" fillId="0" borderId="2" xfId="0" applyFont="1" applyBorder="1"/>
    <xf numFmtId="3" fontId="2" fillId="0" borderId="2" xfId="0" applyNumberFormat="1" applyFont="1" applyBorder="1"/>
    <xf numFmtId="165" fontId="2" fillId="0" borderId="2" xfId="2" applyNumberFormat="1" applyFont="1" applyBorder="1"/>
    <xf numFmtId="165" fontId="2" fillId="0" borderId="3" xfId="2" applyNumberFormat="1" applyFont="1" applyBorder="1"/>
    <xf numFmtId="165" fontId="0" fillId="0" borderId="0" xfId="2" applyNumberFormat="1" applyFont="1" applyFill="1" applyBorder="1"/>
    <xf numFmtId="6" fontId="0" fillId="0" borderId="0" xfId="0" applyNumberFormat="1" applyFill="1" applyBorder="1"/>
    <xf numFmtId="9" fontId="0" fillId="0" borderId="0" xfId="1" applyFont="1" applyBorder="1"/>
    <xf numFmtId="9" fontId="0" fillId="0" borderId="8" xfId="1" applyFont="1" applyBorder="1"/>
    <xf numFmtId="165" fontId="0" fillId="0" borderId="0" xfId="2" applyNumberFormat="1" applyFont="1" applyBorder="1"/>
    <xf numFmtId="3" fontId="0" fillId="0" borderId="10" xfId="0" applyNumberFormat="1" applyFill="1" applyBorder="1"/>
    <xf numFmtId="9" fontId="0" fillId="0" borderId="10" xfId="1" applyFont="1" applyBorder="1"/>
    <xf numFmtId="6" fontId="0" fillId="0" borderId="10" xfId="0" applyNumberFormat="1" applyBorder="1"/>
    <xf numFmtId="0" fontId="3" fillId="0" borderId="0" xfId="0" applyFont="1" applyBorder="1" applyAlignment="1"/>
    <xf numFmtId="0" fontId="0" fillId="0" borderId="7" xfId="0" applyBorder="1" applyAlignment="1">
      <alignment vertical="top"/>
    </xf>
    <xf numFmtId="1" fontId="0" fillId="0" borderId="0" xfId="0" applyNumberFormat="1" applyFill="1" applyBorder="1"/>
    <xf numFmtId="1" fontId="0" fillId="0" borderId="10" xfId="0" applyNumberFormat="1" applyBorder="1"/>
    <xf numFmtId="165" fontId="0" fillId="0" borderId="10" xfId="2" applyNumberFormat="1" applyFont="1" applyBorder="1"/>
    <xf numFmtId="166" fontId="0" fillId="0" borderId="10" xfId="0" applyNumberFormat="1" applyFill="1" applyBorder="1"/>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2" fillId="0" borderId="4" xfId="0" applyFont="1" applyBorder="1" applyAlignment="1">
      <alignment wrapText="1"/>
    </xf>
    <xf numFmtId="3" fontId="0" fillId="0" borderId="8" xfId="0" applyNumberFormat="1" applyBorder="1"/>
    <xf numFmtId="38" fontId="0" fillId="0" borderId="0" xfId="0" applyNumberFormat="1" applyAlignment="1">
      <alignment wrapText="1"/>
    </xf>
    <xf numFmtId="3" fontId="0" fillId="0" borderId="0" xfId="0" applyNumberFormat="1" applyAlignment="1">
      <alignment wrapText="1"/>
    </xf>
    <xf numFmtId="38" fontId="2" fillId="0" borderId="0" xfId="0" applyNumberFormat="1" applyFont="1"/>
    <xf numFmtId="0" fontId="5" fillId="0" borderId="10" xfId="0" applyFont="1" applyBorder="1"/>
    <xf numFmtId="9" fontId="5" fillId="0" borderId="10" xfId="1" applyFont="1" applyBorder="1"/>
    <xf numFmtId="3" fontId="2" fillId="0" borderId="7" xfId="0" applyNumberFormat="1" applyFont="1" applyBorder="1" applyAlignment="1">
      <alignment wrapText="1"/>
    </xf>
    <xf numFmtId="8" fontId="0" fillId="0" borderId="0" xfId="0" applyNumberFormat="1" applyFill="1"/>
    <xf numFmtId="0" fontId="0" fillId="2" borderId="0" xfId="0" applyFill="1" applyAlignment="1">
      <alignment wrapText="1"/>
    </xf>
    <xf numFmtId="0" fontId="0" fillId="2" borderId="0" xfId="0" applyFill="1"/>
    <xf numFmtId="44" fontId="0" fillId="2" borderId="0" xfId="3" applyFont="1" applyFill="1"/>
    <xf numFmtId="44" fontId="0" fillId="0" borderId="0" xfId="3" applyFont="1"/>
    <xf numFmtId="1" fontId="0" fillId="2" borderId="0" xfId="0" applyNumberFormat="1" applyFill="1"/>
    <xf numFmtId="165" fontId="0" fillId="0" borderId="0" xfId="2" applyNumberFormat="1" applyFont="1"/>
    <xf numFmtId="165" fontId="0" fillId="2" borderId="0" xfId="2" applyNumberFormat="1" applyFont="1" applyFill="1"/>
    <xf numFmtId="169" fontId="0" fillId="0" borderId="0" xfId="3" applyNumberFormat="1" applyFont="1"/>
    <xf numFmtId="170" fontId="0" fillId="0" borderId="0" xfId="0" applyNumberFormat="1"/>
    <xf numFmtId="3" fontId="0" fillId="2" borderId="0" xfId="0" applyNumberFormat="1" applyFill="1"/>
    <xf numFmtId="6" fontId="0" fillId="2" borderId="0" xfId="0" applyNumberFormat="1" applyFill="1"/>
    <xf numFmtId="0" fontId="0" fillId="2" borderId="0" xfId="0" applyFill="1" applyAlignment="1">
      <alignment vertical="center" wrapText="1"/>
    </xf>
    <xf numFmtId="6" fontId="0" fillId="2" borderId="0" xfId="0" applyNumberFormat="1" applyFill="1" applyAlignment="1">
      <alignment vertical="center" wrapText="1"/>
    </xf>
    <xf numFmtId="0" fontId="5" fillId="2" borderId="0" xfId="0" applyFont="1" applyFill="1"/>
    <xf numFmtId="3" fontId="0" fillId="2" borderId="0" xfId="0" applyNumberFormat="1" applyFill="1" applyAlignment="1">
      <alignment vertical="center" wrapText="1"/>
    </xf>
    <xf numFmtId="0" fontId="5" fillId="2" borderId="0" xfId="0" applyFont="1" applyFill="1" applyAlignment="1">
      <alignment vertical="center" wrapText="1"/>
    </xf>
    <xf numFmtId="6" fontId="0" fillId="2" borderId="0" xfId="0" applyNumberFormat="1" applyFill="1" applyAlignment="1">
      <alignment wrapText="1"/>
    </xf>
    <xf numFmtId="3" fontId="5" fillId="2" borderId="0" xfId="0" applyNumberFormat="1" applyFont="1" applyFill="1"/>
    <xf numFmtId="164" fontId="0" fillId="2" borderId="0" xfId="0" applyNumberFormat="1" applyFill="1" applyAlignment="1">
      <alignment wrapText="1"/>
    </xf>
    <xf numFmtId="3" fontId="5" fillId="2" borderId="0" xfId="0" applyNumberFormat="1" applyFont="1" applyFill="1" applyAlignment="1">
      <alignment vertical="center" wrapText="1"/>
    </xf>
    <xf numFmtId="1" fontId="0" fillId="2" borderId="0" xfId="0" applyNumberFormat="1" applyFill="1" applyAlignment="1">
      <alignment wrapText="1"/>
    </xf>
    <xf numFmtId="1" fontId="0" fillId="2" borderId="0" xfId="0" applyNumberFormat="1" applyFill="1" applyAlignment="1">
      <alignment vertical="center" wrapText="1"/>
    </xf>
    <xf numFmtId="166" fontId="0" fillId="2" borderId="0" xfId="0" applyNumberFormat="1" applyFill="1"/>
    <xf numFmtId="0" fontId="0" fillId="2" borderId="0" xfId="0" applyFont="1" applyFill="1" applyAlignment="1">
      <alignment wrapText="1"/>
    </xf>
    <xf numFmtId="0" fontId="2" fillId="2" borderId="0" xfId="0" applyFont="1" applyFill="1"/>
    <xf numFmtId="3" fontId="0" fillId="2" borderId="0" xfId="0" applyNumberFormat="1" applyFill="1" applyAlignment="1">
      <alignment vertical="center"/>
    </xf>
    <xf numFmtId="166" fontId="0" fillId="2" borderId="0" xfId="0" applyNumberFormat="1" applyFill="1" applyAlignment="1">
      <alignment vertical="center"/>
    </xf>
    <xf numFmtId="6" fontId="4" fillId="2" borderId="0" xfId="0" applyNumberFormat="1" applyFont="1" applyFill="1" applyAlignment="1"/>
    <xf numFmtId="0" fontId="2" fillId="2" borderId="0" xfId="0" applyFont="1" applyFill="1" applyBorder="1" applyAlignment="1">
      <alignment wrapText="1"/>
    </xf>
    <xf numFmtId="3" fontId="0" fillId="2" borderId="0" xfId="0" applyNumberFormat="1" applyFont="1" applyFill="1" applyBorder="1"/>
    <xf numFmtId="0" fontId="2" fillId="2" borderId="0" xfId="0" applyFont="1" applyFill="1" applyBorder="1"/>
    <xf numFmtId="3" fontId="5" fillId="2" borderId="0" xfId="0" applyNumberFormat="1" applyFont="1" applyFill="1" applyBorder="1"/>
    <xf numFmtId="0" fontId="9" fillId="2" borderId="0" xfId="0" applyFont="1" applyFill="1" applyBorder="1"/>
    <xf numFmtId="3" fontId="0" fillId="2" borderId="0" xfId="0" applyNumberFormat="1" applyFill="1" applyBorder="1"/>
    <xf numFmtId="0" fontId="0" fillId="2" borderId="0" xfId="0" applyFill="1" applyBorder="1"/>
    <xf numFmtId="0" fontId="4" fillId="2" borderId="0" xfId="0" applyFont="1" applyFill="1" applyBorder="1"/>
    <xf numFmtId="3" fontId="0" fillId="2" borderId="10" xfId="0" applyNumberFormat="1" applyFill="1" applyBorder="1"/>
    <xf numFmtId="165" fontId="0" fillId="2" borderId="0" xfId="2" applyNumberFormat="1" applyFont="1" applyFill="1" applyBorder="1"/>
    <xf numFmtId="9" fontId="2" fillId="2" borderId="0" xfId="0" applyNumberFormat="1" applyFont="1" applyFill="1" applyBorder="1" applyAlignment="1">
      <alignment wrapText="1"/>
    </xf>
    <xf numFmtId="6" fontId="0" fillId="2" borderId="0" xfId="1" applyNumberFormat="1" applyFont="1" applyFill="1" applyBorder="1"/>
    <xf numFmtId="6" fontId="0" fillId="2" borderId="10" xfId="0" applyNumberFormat="1" applyFill="1" applyBorder="1"/>
    <xf numFmtId="6" fontId="0" fillId="2" borderId="0" xfId="0" applyNumberFormat="1" applyFill="1" applyBorder="1"/>
    <xf numFmtId="9" fontId="0" fillId="0" borderId="11" xfId="1" applyFont="1" applyBorder="1"/>
    <xf numFmtId="6" fontId="5" fillId="2" borderId="0" xfId="0" applyNumberFormat="1" applyFont="1" applyFill="1"/>
    <xf numFmtId="6" fontId="5" fillId="2" borderId="0" xfId="1" applyNumberFormat="1" applyFont="1" applyFill="1" applyBorder="1"/>
    <xf numFmtId="9" fontId="5" fillId="0" borderId="0" xfId="1" applyFont="1" applyBorder="1"/>
    <xf numFmtId="167" fontId="5" fillId="0" borderId="11" xfId="1" applyNumberFormat="1" applyFont="1" applyBorder="1"/>
    <xf numFmtId="44" fontId="0" fillId="0" borderId="0" xfId="3" applyFont="1" applyAlignment="1">
      <alignment wrapText="1"/>
    </xf>
    <xf numFmtId="0" fontId="0" fillId="0" borderId="0" xfId="0" applyFill="1"/>
    <xf numFmtId="9" fontId="0" fillId="3" borderId="0" xfId="1" applyFont="1" applyFill="1"/>
    <xf numFmtId="3" fontId="0" fillId="0" borderId="10" xfId="0" applyNumberFormat="1" applyBorder="1"/>
    <xf numFmtId="166" fontId="0" fillId="0" borderId="10" xfId="0" applyNumberFormat="1" applyBorder="1"/>
    <xf numFmtId="0" fontId="2" fillId="0" borderId="10" xfId="0" applyFont="1" applyBorder="1"/>
    <xf numFmtId="0" fontId="0" fillId="0" borderId="11" xfId="0" applyBorder="1"/>
    <xf numFmtId="3" fontId="0" fillId="0" borderId="2" xfId="0" applyNumberFormat="1" applyFill="1" applyBorder="1"/>
    <xf numFmtId="6" fontId="2" fillId="3" borderId="2" xfId="0" applyNumberFormat="1" applyFont="1" applyFill="1" applyBorder="1"/>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0" fillId="0" borderId="0" xfId="0" applyAlignment="1">
      <alignment horizontal="center"/>
    </xf>
    <xf numFmtId="0" fontId="3" fillId="0" borderId="0" xfId="0" applyFont="1" applyAlignment="1">
      <alignment horizontal="center"/>
    </xf>
    <xf numFmtId="0" fontId="0" fillId="0" borderId="0" xfId="0" applyAlignment="1">
      <alignment horizontal="left" vertical="center" wrapText="1"/>
    </xf>
    <xf numFmtId="0" fontId="6" fillId="0" borderId="0" xfId="0" applyFont="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0" fillId="0" borderId="0" xfId="0" applyAlignment="1">
      <alignment horizontal="left"/>
    </xf>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cellXfs>
  <cellStyles count="4">
    <cellStyle name="Comma" xfId="2" builtinId="3"/>
    <cellStyle name="Currency" xfId="3"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100% Carbon-free Electricity</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7465250024092558"/>
          <c:y val="8.6102341407007149E-2"/>
          <c:w val="0.43860314770206332"/>
          <c:h val="0.68309755772053926"/>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276-4B24-ACE6-122C844E5D4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276-4B24-ACE6-122C844E5D4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276-4B24-ACE6-122C844E5D4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276-4B24-ACE6-122C844E5D4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276-4B24-ACE6-122C844E5D45}"/>
              </c:ext>
            </c:extLst>
          </c:dPt>
          <c:cat>
            <c:strRef>
              <c:f>ChartCF!$N$4:$N$8</c:f>
              <c:strCache>
                <c:ptCount val="5"/>
                <c:pt idx="0">
                  <c:v>Self-generated Solar PV</c:v>
                </c:pt>
                <c:pt idx="1">
                  <c:v>Community Solar</c:v>
                </c:pt>
                <c:pt idx="2">
                  <c:v>Carbon-free energy in utility generation mix</c:v>
                </c:pt>
                <c:pt idx="3">
                  <c:v>Renewable*Connect</c:v>
                </c:pt>
                <c:pt idx="4">
                  <c:v>Other Utility Green Program</c:v>
                </c:pt>
              </c:strCache>
            </c:strRef>
          </c:cat>
          <c:val>
            <c:numRef>
              <c:f>ChartCF!$O$4:$O$8</c:f>
              <c:numCache>
                <c:formatCode>General</c:formatCode>
                <c:ptCount val="5"/>
              </c:numCache>
            </c:numRef>
          </c:val>
          <c:extLst>
            <c:ext xmlns:c16="http://schemas.microsoft.com/office/drawing/2014/chart" uri="{C3380CC4-5D6E-409C-BE32-E72D297353CC}">
              <c16:uniqueId val="{0000000A-C276-4B24-ACE6-122C844E5D45}"/>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C-C276-4B24-ACE6-122C844E5D4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E-C276-4B24-ACE6-122C844E5D4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0-C276-4B24-ACE6-122C844E5D4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2-C276-4B24-ACE6-122C844E5D4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4-C276-4B24-ACE6-122C844E5D45}"/>
              </c:ext>
            </c:extLst>
          </c:dPt>
          <c:cat>
            <c:strRef>
              <c:f>ChartCF!$N$4:$N$8</c:f>
              <c:strCache>
                <c:ptCount val="5"/>
                <c:pt idx="0">
                  <c:v>Self-generated Solar PV</c:v>
                </c:pt>
                <c:pt idx="1">
                  <c:v>Community Solar</c:v>
                </c:pt>
                <c:pt idx="2">
                  <c:v>Carbon-free energy in utility generation mix</c:v>
                </c:pt>
                <c:pt idx="3">
                  <c:v>Renewable*Connect</c:v>
                </c:pt>
                <c:pt idx="4">
                  <c:v>Other Utility Green Program</c:v>
                </c:pt>
              </c:strCache>
            </c:strRef>
          </c:cat>
          <c:val>
            <c:numRef>
              <c:f>ChartCF!$P$4:$P$8</c:f>
              <c:numCache>
                <c:formatCode>#,##0</c:formatCode>
                <c:ptCount val="5"/>
                <c:pt idx="0">
                  <c:v>179271</c:v>
                </c:pt>
                <c:pt idx="1">
                  <c:v>209100</c:v>
                </c:pt>
                <c:pt idx="2">
                  <c:v>319792.96000000002</c:v>
                </c:pt>
                <c:pt idx="3">
                  <c:v>246978.16</c:v>
                </c:pt>
                <c:pt idx="4">
                  <c:v>17280.879999999997</c:v>
                </c:pt>
              </c:numCache>
            </c:numRef>
          </c:val>
          <c:extLst>
            <c:ext xmlns:c16="http://schemas.microsoft.com/office/drawing/2014/chart" uri="{C3380CC4-5D6E-409C-BE32-E72D297353CC}">
              <c16:uniqueId val="{00000015-C276-4B24-ACE6-122C844E5D45}"/>
            </c:ext>
          </c:extLst>
        </c:ser>
        <c:ser>
          <c:idx val="2"/>
          <c:order val="2"/>
          <c:dPt>
            <c:idx val="0"/>
            <c:bubble3D val="0"/>
            <c:spPr>
              <a:solidFill>
                <a:schemeClr val="accent1"/>
              </a:solidFill>
              <a:ln w="19050">
                <a:solidFill>
                  <a:schemeClr val="lt1"/>
                </a:solidFill>
              </a:ln>
              <a:effectLst/>
            </c:spPr>
            <c:extLst>
              <c:ext xmlns:c16="http://schemas.microsoft.com/office/drawing/2014/chart" uri="{C3380CC4-5D6E-409C-BE32-E72D297353CC}">
                <c16:uniqueId val="{00000017-C276-4B24-ACE6-122C844E5D4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9-C276-4B24-ACE6-122C844E5D4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B-C276-4B24-ACE6-122C844E5D4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D-C276-4B24-ACE6-122C844E5D4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F-C276-4B24-ACE6-122C844E5D45}"/>
              </c:ext>
            </c:extLst>
          </c:dPt>
          <c:cat>
            <c:strRef>
              <c:f>ChartCF!$N$4:$N$8</c:f>
              <c:strCache>
                <c:ptCount val="5"/>
                <c:pt idx="0">
                  <c:v>Self-generated Solar PV</c:v>
                </c:pt>
                <c:pt idx="1">
                  <c:v>Community Solar</c:v>
                </c:pt>
                <c:pt idx="2">
                  <c:v>Carbon-free energy in utility generation mix</c:v>
                </c:pt>
                <c:pt idx="3">
                  <c:v>Renewable*Connect</c:v>
                </c:pt>
                <c:pt idx="4">
                  <c:v>Other Utility Green Program</c:v>
                </c:pt>
              </c:strCache>
            </c:strRef>
          </c:cat>
          <c:val>
            <c:numRef>
              <c:f>ChartCF!$Q$4:$Q$8</c:f>
              <c:numCache>
                <c:formatCode>0%</c:formatCode>
                <c:ptCount val="5"/>
                <c:pt idx="0">
                  <c:v>0.18435495663924034</c:v>
                </c:pt>
                <c:pt idx="1">
                  <c:v>0.21502987897242248</c:v>
                </c:pt>
                <c:pt idx="2">
                  <c:v>0.32886198701593855</c:v>
                </c:pt>
                <c:pt idx="3">
                  <c:v>0.25398222789876423</c:v>
                </c:pt>
                <c:pt idx="4">
                  <c:v>1.7770949473634414E-2</c:v>
                </c:pt>
              </c:numCache>
            </c:numRef>
          </c:val>
          <c:extLst>
            <c:ext xmlns:c16="http://schemas.microsoft.com/office/drawing/2014/chart" uri="{C3380CC4-5D6E-409C-BE32-E72D297353CC}">
              <c16:uniqueId val="{00000020-C276-4B24-ACE6-122C844E5D45}"/>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r"/>
      <c:layout>
        <c:manualLayout>
          <c:xMode val="edge"/>
          <c:yMode val="edge"/>
          <c:x val="3.5636189369920065E-2"/>
          <c:y val="0.74796434308587678"/>
          <c:w val="0.95025659579735122"/>
          <c:h val="0.2281888885962833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388620</xdr:colOff>
      <xdr:row>2</xdr:row>
      <xdr:rowOff>30480</xdr:rowOff>
    </xdr:from>
    <xdr:to>
      <xdr:col>12</xdr:col>
      <xdr:colOff>129540</xdr:colOff>
      <xdr:row>28</xdr:row>
      <xdr:rowOff>68580</xdr:rowOff>
    </xdr:to>
    <xdr:graphicFrame macro="">
      <xdr:nvGraphicFramePr>
        <xdr:cNvPr id="2" name="Chart 1">
          <a:extLst>
            <a:ext uri="{FF2B5EF4-FFF2-40B4-BE49-F238E27FC236}">
              <a16:creationId xmlns:a16="http://schemas.microsoft.com/office/drawing/2014/main" id="{DBFCBD4B-1D38-4CAB-8183-7F184FFA4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FAFEC-9E36-4D93-ACA1-B57D668E81CD}">
  <sheetPr>
    <pageSetUpPr fitToPage="1"/>
  </sheetPr>
  <dimension ref="A1:P23"/>
  <sheetViews>
    <sheetView workbookViewId="0">
      <selection activeCell="A23" sqref="A23"/>
    </sheetView>
  </sheetViews>
  <sheetFormatPr defaultRowHeight="14.4" x14ac:dyDescent="0.3"/>
  <cols>
    <col min="1" max="1" width="21.109375" customWidth="1"/>
    <col min="2" max="2" width="8.33203125" customWidth="1"/>
    <col min="3" max="3" width="10.109375" customWidth="1"/>
    <col min="4" max="4" width="10.77734375" customWidth="1"/>
    <col min="5" max="5" width="10.5546875" customWidth="1"/>
    <col min="6" max="6" width="11" customWidth="1"/>
    <col min="7" max="7" width="9.44140625" customWidth="1"/>
    <col min="9" max="9" width="7.88671875" customWidth="1"/>
    <col min="10" max="10" width="8.109375" customWidth="1"/>
    <col min="13" max="13" width="9.5546875" customWidth="1"/>
    <col min="15" max="15" width="10.88671875" customWidth="1"/>
    <col min="16" max="16" width="11" customWidth="1"/>
  </cols>
  <sheetData>
    <row r="1" spans="1:16" ht="18" x14ac:dyDescent="0.35">
      <c r="A1" s="168" t="s">
        <v>229</v>
      </c>
      <c r="B1" s="169"/>
      <c r="C1" s="169"/>
      <c r="D1" s="169"/>
      <c r="E1" s="169"/>
      <c r="F1" s="169"/>
      <c r="G1" s="169"/>
      <c r="H1" s="169"/>
      <c r="I1" s="169"/>
      <c r="J1" s="169"/>
      <c r="K1" s="169"/>
      <c r="L1" s="169"/>
      <c r="M1" s="169"/>
      <c r="N1" s="169"/>
      <c r="O1" s="169"/>
      <c r="P1" s="170"/>
    </row>
    <row r="2" spans="1:16" ht="42" customHeight="1" x14ac:dyDescent="0.3">
      <c r="A2" s="31"/>
      <c r="B2" s="140" t="s">
        <v>267</v>
      </c>
      <c r="C2" s="33" t="s">
        <v>266</v>
      </c>
      <c r="D2" s="140" t="s">
        <v>265</v>
      </c>
      <c r="E2" s="33" t="s">
        <v>264</v>
      </c>
      <c r="F2" s="33" t="s">
        <v>111</v>
      </c>
      <c r="G2" s="140" t="s">
        <v>154</v>
      </c>
      <c r="H2" s="33" t="s">
        <v>101</v>
      </c>
      <c r="I2" s="140" t="s">
        <v>103</v>
      </c>
      <c r="J2" s="33" t="s">
        <v>102</v>
      </c>
      <c r="K2" s="150" t="s">
        <v>155</v>
      </c>
      <c r="L2" s="32" t="s">
        <v>68</v>
      </c>
      <c r="M2" s="142" t="s">
        <v>67</v>
      </c>
      <c r="N2" s="32" t="s">
        <v>66</v>
      </c>
      <c r="O2" s="33" t="s">
        <v>230</v>
      </c>
      <c r="P2" s="34" t="s">
        <v>301</v>
      </c>
    </row>
    <row r="3" spans="1:16" x14ac:dyDescent="0.3">
      <c r="A3" s="31" t="s">
        <v>263</v>
      </c>
      <c r="B3" s="141">
        <f>'Electrcity Entry Form'!C22</f>
        <v>972423</v>
      </c>
      <c r="C3" s="86">
        <f>'Electrcity Entry Form'!E22</f>
        <v>987004.68170388159</v>
      </c>
      <c r="D3" s="145">
        <f>'Electrcity Entry Form'!G22</f>
        <v>989433.67779632728</v>
      </c>
      <c r="E3" s="39">
        <f>'Electrcity Entry Form'!I22</f>
        <v>973801.93489148584</v>
      </c>
      <c r="F3" s="36">
        <v>3412</v>
      </c>
      <c r="G3" s="145">
        <f>($F$3*B3)/1000000</f>
        <v>3317.9072759999999</v>
      </c>
      <c r="H3" s="67">
        <f>($F$3*C3)/1000000</f>
        <v>3367.6599739736439</v>
      </c>
      <c r="I3" s="145">
        <f>($F$3*D3)/1000000</f>
        <v>3375.9477086410684</v>
      </c>
      <c r="J3" s="67">
        <f>($F$3*E3)/1000000</f>
        <v>3322.6122018497495</v>
      </c>
      <c r="K3" s="151">
        <f>'Electrcity Entry Form'!D22</f>
        <v>63381.369999999995</v>
      </c>
      <c r="L3" s="87">
        <f>'Electrcity Entry Form'!F22</f>
        <v>74257.89</v>
      </c>
      <c r="M3" s="153">
        <f>'Electrcity Entry Form'!H22</f>
        <v>85774</v>
      </c>
      <c r="N3" s="87">
        <f>'Electrcity Entry Form'!J22</f>
        <v>97368</v>
      </c>
      <c r="O3" s="88">
        <f>1-K3/L3</f>
        <v>0.14646955360568426</v>
      </c>
      <c r="P3" s="89">
        <f>1-K3/N3</f>
        <v>0.34905338509571937</v>
      </c>
    </row>
    <row r="4" spans="1:16" x14ac:dyDescent="0.3">
      <c r="A4" s="31" t="s">
        <v>0</v>
      </c>
      <c r="B4" s="142"/>
      <c r="C4" s="36"/>
      <c r="D4" s="146"/>
      <c r="E4" s="36"/>
      <c r="F4" s="36"/>
      <c r="G4" s="146"/>
      <c r="H4" s="36"/>
      <c r="I4" s="146"/>
      <c r="J4" s="36"/>
      <c r="K4" s="146"/>
      <c r="L4" s="36"/>
      <c r="M4" s="146"/>
      <c r="N4" s="36"/>
      <c r="O4" s="36"/>
      <c r="P4" s="47"/>
    </row>
    <row r="5" spans="1:16" x14ac:dyDescent="0.3">
      <c r="A5" s="42" t="s">
        <v>100</v>
      </c>
      <c r="B5" s="143">
        <f>'Fleet Fuel'!B13</f>
        <v>38459</v>
      </c>
      <c r="C5" s="67">
        <f>'Fleet Fuel'!D13</f>
        <v>34479</v>
      </c>
      <c r="D5" s="145">
        <f>'Fleet Fuel'!F13</f>
        <v>32932</v>
      </c>
      <c r="E5" s="39">
        <f>'Fleet Fuel'!H13</f>
        <v>36342</v>
      </c>
      <c r="F5" s="36">
        <v>114000</v>
      </c>
      <c r="G5" s="143">
        <f>($F$5*B5)/1000000</f>
        <v>4384.326</v>
      </c>
      <c r="H5" s="90">
        <f>($F$5*C5)/1000000</f>
        <v>3930.6060000000002</v>
      </c>
      <c r="I5" s="149">
        <f>($F$5*D5)/1000000</f>
        <v>3754.248</v>
      </c>
      <c r="J5" s="90">
        <f>($F$5*E5)/1000000</f>
        <v>4142.9880000000003</v>
      </c>
      <c r="K5" s="151">
        <f>'Fleet Fuel'!C13</f>
        <v>48853.222699093945</v>
      </c>
      <c r="L5" s="38">
        <f>'Fleet Fuel'!E13</f>
        <v>72386.243405159912</v>
      </c>
      <c r="M5" s="153">
        <f>'Fleet Fuel'!G13</f>
        <v>82589.080419580423</v>
      </c>
      <c r="N5" s="38">
        <f>'Fleet Fuel'!I13</f>
        <v>81329.647464444774</v>
      </c>
      <c r="O5" s="88">
        <f t="shared" ref="O5:O7" si="0">1-K5/L5</f>
        <v>0.32510349479454359</v>
      </c>
      <c r="P5" s="89">
        <f t="shared" ref="P5:P7" si="1">1-K5/N5</f>
        <v>0.39931840082730818</v>
      </c>
    </row>
    <row r="6" spans="1:16" x14ac:dyDescent="0.3">
      <c r="A6" s="42" t="s">
        <v>1</v>
      </c>
      <c r="B6" s="143">
        <f>'Fleet Fuel'!B12</f>
        <v>67014</v>
      </c>
      <c r="C6" s="67">
        <f>'Fleet Fuel'!D12</f>
        <v>69218</v>
      </c>
      <c r="D6" s="145">
        <f>'Fleet Fuel'!F12</f>
        <v>65287</v>
      </c>
      <c r="E6" s="39">
        <f>'Fleet Fuel'!H12</f>
        <v>77534</v>
      </c>
      <c r="F6" s="36">
        <v>138874</v>
      </c>
      <c r="G6" s="143">
        <f>($F$6*B6)/1000000</f>
        <v>9306.5022360000003</v>
      </c>
      <c r="H6" s="90">
        <f>($F$6*C6)/1000000</f>
        <v>9612.5805319999999</v>
      </c>
      <c r="I6" s="149">
        <f>($F$6*D6)/1000000</f>
        <v>9066.6668379999992</v>
      </c>
      <c r="J6" s="90">
        <f>($F$6*E6)/1000000</f>
        <v>10767.456716000001</v>
      </c>
      <c r="K6" s="151">
        <f>'Fleet Fuel'!C12</f>
        <v>135711</v>
      </c>
      <c r="L6" s="38">
        <f>'Fleet Fuel'!E12</f>
        <v>172275</v>
      </c>
      <c r="M6" s="153">
        <f>'Fleet Fuel'!G12</f>
        <v>166321</v>
      </c>
      <c r="N6" s="38">
        <f>'Fleet Fuel'!I12</f>
        <v>167411</v>
      </c>
      <c r="O6" s="88">
        <f t="shared" si="0"/>
        <v>0.21224205485415759</v>
      </c>
      <c r="P6" s="89">
        <f t="shared" si="1"/>
        <v>0.18935434350192037</v>
      </c>
    </row>
    <row r="7" spans="1:16" x14ac:dyDescent="0.3">
      <c r="A7" s="42" t="s">
        <v>109</v>
      </c>
      <c r="B7" s="143">
        <f>'Fleet Fuel'!B10</f>
        <v>5959.0553660456571</v>
      </c>
      <c r="C7" s="67">
        <f>'Fleet Fuel'!D10</f>
        <v>4760</v>
      </c>
      <c r="D7" s="145">
        <f>'Fleet Fuel'!F10</f>
        <v>3596</v>
      </c>
      <c r="E7" s="39">
        <f>'Fleet Fuel'!H10</f>
        <v>3750</v>
      </c>
      <c r="F7" s="36">
        <v>100000</v>
      </c>
      <c r="G7" s="143">
        <f>B7*$F$7/1000000</f>
        <v>595.90553660456578</v>
      </c>
      <c r="H7" s="90">
        <f>C7*$F$7/1000000</f>
        <v>476</v>
      </c>
      <c r="I7" s="149">
        <f>D7*$F$7/1000000</f>
        <v>359.6</v>
      </c>
      <c r="J7" s="90">
        <f>E7*$F$7/1000000</f>
        <v>375</v>
      </c>
      <c r="K7" s="151">
        <f>'Fleet Fuel'!C10</f>
        <v>3546.829753870375</v>
      </c>
      <c r="L7" s="38">
        <f>'Fleet Fuel'!E10</f>
        <v>2833.1519999999996</v>
      </c>
      <c r="M7" s="153">
        <f>'Fleet Fuel'!G10</f>
        <v>2394.9360000000001</v>
      </c>
      <c r="N7" s="38">
        <f>'Fleet Fuel'!I10</f>
        <v>2355</v>
      </c>
      <c r="O7" s="88">
        <f t="shared" si="0"/>
        <v>-0.25190238782471797</v>
      </c>
      <c r="P7" s="89">
        <f t="shared" si="1"/>
        <v>-0.50608482117637998</v>
      </c>
    </row>
    <row r="8" spans="1:16" x14ac:dyDescent="0.3">
      <c r="A8" s="31" t="s">
        <v>110</v>
      </c>
      <c r="B8" s="144"/>
      <c r="C8" s="36"/>
      <c r="D8" s="146"/>
      <c r="E8" s="36"/>
      <c r="F8" s="36"/>
      <c r="G8" s="147"/>
      <c r="H8" s="36"/>
      <c r="I8" s="146"/>
      <c r="J8" s="36"/>
      <c r="K8" s="146"/>
      <c r="L8" s="36"/>
      <c r="M8" s="146"/>
      <c r="N8" s="36"/>
      <c r="O8" s="36"/>
      <c r="P8" s="47"/>
    </row>
    <row r="9" spans="1:16" x14ac:dyDescent="0.3">
      <c r="A9" s="42" t="s">
        <v>2</v>
      </c>
      <c r="B9" s="143">
        <f>'Nat. Gas Summary'!B18</f>
        <v>66641.979855184036</v>
      </c>
      <c r="C9" s="67">
        <f>'Nat. Gas Summary'!D18</f>
        <v>75731</v>
      </c>
      <c r="D9" s="145">
        <f>'Nat. Gas Summary'!F18</f>
        <v>71320</v>
      </c>
      <c r="E9" s="39">
        <f>'Nat. Gas Summary'!H18</f>
        <v>63965</v>
      </c>
      <c r="F9" s="36">
        <v>100000</v>
      </c>
      <c r="G9" s="143">
        <f>($F$9*B9)/1000000</f>
        <v>6664.1979855184036</v>
      </c>
      <c r="H9" s="67">
        <f>($F$9*C9)/1000000</f>
        <v>7573.1</v>
      </c>
      <c r="I9" s="145">
        <f>($F$9*D9)/1000000</f>
        <v>7132</v>
      </c>
      <c r="J9" s="67">
        <f>($F$9*E9)/1000000</f>
        <v>6396.5</v>
      </c>
      <c r="K9" s="156">
        <f>'Nat. Gas Summary'!C18</f>
        <v>40156.430246129632</v>
      </c>
      <c r="L9" s="38">
        <f>'Nat. Gas Summary'!E18</f>
        <v>47733.847999999998</v>
      </c>
      <c r="M9" s="153">
        <f>'Nat. Gas Summary'!G18</f>
        <v>48523.063999999998</v>
      </c>
      <c r="N9" s="87">
        <f>'Nat. Gas Summary'!I18</f>
        <v>41935</v>
      </c>
      <c r="O9" s="157">
        <f t="shared" ref="O9:O10" si="2">1-K9/L9</f>
        <v>0.15874307375911467</v>
      </c>
      <c r="P9" s="89">
        <f t="shared" ref="P9:P10" si="3">1-K9/N9</f>
        <v>4.2412537352339741E-2</v>
      </c>
    </row>
    <row r="10" spans="1:16" x14ac:dyDescent="0.3">
      <c r="A10" s="42" t="s">
        <v>3</v>
      </c>
      <c r="B10" s="143">
        <f>Propane!B5</f>
        <v>15362</v>
      </c>
      <c r="C10" s="67">
        <f>Propane!C5</f>
        <v>16667.536988685813</v>
      </c>
      <c r="D10" s="145">
        <f>Propane!D5</f>
        <v>17678.260869565216</v>
      </c>
      <c r="E10" s="39">
        <f>Propane!E5</f>
        <v>15220.382165605095</v>
      </c>
      <c r="F10" s="36">
        <v>91502</v>
      </c>
      <c r="G10" s="143">
        <f>($F$10*B10)/1000000</f>
        <v>1405.653724</v>
      </c>
      <c r="H10" s="67">
        <f>($F$10*C10)/1000000</f>
        <v>1525.1129695387292</v>
      </c>
      <c r="I10" s="145">
        <f>($F$10*D10)/1000000</f>
        <v>1617.5962260869564</v>
      </c>
      <c r="J10" s="67">
        <f>($F$10*E10)/1000000</f>
        <v>1392.6954089171975</v>
      </c>
      <c r="K10" s="151">
        <f>Propane!B3</f>
        <v>14649</v>
      </c>
      <c r="L10" s="87">
        <f>Propane!C3</f>
        <v>19151</v>
      </c>
      <c r="M10" s="153">
        <f>Propane!D3</f>
        <v>16264</v>
      </c>
      <c r="N10" s="87">
        <f>Propane!E3</f>
        <v>11948</v>
      </c>
      <c r="O10" s="88">
        <f t="shared" si="2"/>
        <v>0.23507910814056709</v>
      </c>
      <c r="P10" s="89">
        <f t="shared" si="3"/>
        <v>-0.22606293940408428</v>
      </c>
    </row>
    <row r="11" spans="1:16" x14ac:dyDescent="0.3">
      <c r="A11" s="42"/>
      <c r="B11" s="36"/>
      <c r="C11" s="36"/>
      <c r="D11" s="36"/>
      <c r="E11" s="36"/>
      <c r="F11" s="36"/>
      <c r="G11" s="146"/>
      <c r="H11" s="67"/>
      <c r="I11" s="145"/>
      <c r="J11" s="67"/>
      <c r="K11" s="146"/>
      <c r="L11" s="36"/>
      <c r="M11" s="146"/>
      <c r="N11" s="36"/>
      <c r="O11" s="36"/>
      <c r="P11" s="47"/>
    </row>
    <row r="12" spans="1:16" x14ac:dyDescent="0.3">
      <c r="A12" s="60" t="s">
        <v>4</v>
      </c>
      <c r="B12" s="55"/>
      <c r="C12" s="55"/>
      <c r="D12" s="55"/>
      <c r="E12" s="55"/>
      <c r="F12" s="55"/>
      <c r="G12" s="148">
        <f>SUM(G3:G10)</f>
        <v>25674.492758122968</v>
      </c>
      <c r="H12" s="91">
        <f>SUM(H3:H10)</f>
        <v>26485.059475512375</v>
      </c>
      <c r="I12" s="148">
        <f>SUM(I3:I10)</f>
        <v>25306.058772728022</v>
      </c>
      <c r="J12" s="91">
        <f t="shared" ref="J12" si="4">SUM(J3:J10)</f>
        <v>26397.252326766946</v>
      </c>
      <c r="K12" s="152">
        <f>SUM(K3:K10)</f>
        <v>306297.85269909399</v>
      </c>
      <c r="L12" s="93">
        <f>SUM(L3:L10)</f>
        <v>388637.13340515993</v>
      </c>
      <c r="M12" s="152">
        <f>SUM(M3:M10)</f>
        <v>401866.08041958045</v>
      </c>
      <c r="N12" s="93">
        <f>SUM(N3:N10)</f>
        <v>402346.64746444474</v>
      </c>
      <c r="O12" s="92">
        <f>1-K12/L12</f>
        <v>0.21186673539048062</v>
      </c>
      <c r="P12" s="154">
        <f>1-K12/N12</f>
        <v>0.23872149891304506</v>
      </c>
    </row>
    <row r="13" spans="1:16" x14ac:dyDescent="0.3">
      <c r="F13" s="16"/>
      <c r="G13" s="16"/>
      <c r="H13" s="16"/>
      <c r="I13" s="2"/>
      <c r="J13" s="5"/>
      <c r="K13" s="5"/>
      <c r="L13" s="5"/>
      <c r="M13" s="13"/>
    </row>
    <row r="14" spans="1:16" ht="18" x14ac:dyDescent="0.35">
      <c r="A14" s="168" t="s">
        <v>252</v>
      </c>
      <c r="B14" s="169"/>
      <c r="C14" s="169"/>
      <c r="D14" s="169"/>
      <c r="E14" s="169"/>
      <c r="F14" s="169"/>
      <c r="G14" s="169"/>
      <c r="H14" s="169"/>
      <c r="I14" s="170"/>
      <c r="J14" s="94"/>
      <c r="K14" s="94"/>
      <c r="L14" s="94"/>
    </row>
    <row r="15" spans="1:16" ht="61.2" customHeight="1" x14ac:dyDescent="0.3">
      <c r="A15" s="103" t="s">
        <v>112</v>
      </c>
      <c r="B15" s="61" t="s">
        <v>7</v>
      </c>
      <c r="C15" s="71" t="s">
        <v>213</v>
      </c>
      <c r="D15" s="71" t="s">
        <v>218</v>
      </c>
      <c r="E15" s="71" t="s">
        <v>5</v>
      </c>
      <c r="F15" s="71" t="s">
        <v>226</v>
      </c>
      <c r="G15" s="71" t="s">
        <v>227</v>
      </c>
      <c r="H15" s="71" t="s">
        <v>134</v>
      </c>
      <c r="I15" s="77" t="s">
        <v>228</v>
      </c>
    </row>
    <row r="16" spans="1:16" x14ac:dyDescent="0.3">
      <c r="A16" s="95" t="s">
        <v>127</v>
      </c>
      <c r="B16" s="96">
        <f>'Renewable Electricity'!Q13</f>
        <v>174</v>
      </c>
      <c r="C16" s="39">
        <f>'Renewable Electricity'!D9</f>
        <v>179271</v>
      </c>
      <c r="D16" s="36">
        <v>3412</v>
      </c>
      <c r="E16" s="45">
        <f>(D16*C16)/1000000</f>
        <v>611.67265199999997</v>
      </c>
      <c r="F16" s="53">
        <f>'Renewable Electricity'!G9</f>
        <v>15898.8</v>
      </c>
      <c r="G16" s="36"/>
      <c r="H16" s="36"/>
      <c r="I16" s="47"/>
    </row>
    <row r="17" spans="1:9" x14ac:dyDescent="0.3">
      <c r="A17" s="42" t="s">
        <v>144</v>
      </c>
      <c r="B17" s="96">
        <f>'Renewable Electricity'!Q14</f>
        <v>195.125</v>
      </c>
      <c r="C17" s="70">
        <f>'Renewable Electricity'!D12</f>
        <v>209100</v>
      </c>
      <c r="D17" s="36">
        <v>3412</v>
      </c>
      <c r="E17" s="45">
        <f>(D17*C17)/1000000</f>
        <v>713.44920000000002</v>
      </c>
      <c r="F17" s="53">
        <f>'Renewable Electricity'!G12</f>
        <v>17220.600000000002</v>
      </c>
      <c r="G17" s="36"/>
      <c r="H17" s="36"/>
      <c r="I17" s="47"/>
    </row>
    <row r="18" spans="1:9" x14ac:dyDescent="0.3">
      <c r="A18" s="42"/>
      <c r="B18" s="36"/>
      <c r="C18" s="36"/>
      <c r="D18" s="36"/>
      <c r="E18" s="36"/>
      <c r="F18" s="36"/>
      <c r="G18" s="53"/>
      <c r="H18" s="53"/>
      <c r="I18" s="47"/>
    </row>
    <row r="19" spans="1:9" x14ac:dyDescent="0.3">
      <c r="A19" s="60" t="s">
        <v>4</v>
      </c>
      <c r="B19" s="97">
        <f>SUM(B16:B17)</f>
        <v>369.125</v>
      </c>
      <c r="C19" s="98">
        <f>SUM(C16:C17)</f>
        <v>388371</v>
      </c>
      <c r="D19" s="55"/>
      <c r="E19" s="97">
        <f>SUM(E16:E17)</f>
        <v>1325.121852</v>
      </c>
      <c r="F19" s="99">
        <f>SUM(F16:F17)</f>
        <v>33119.4</v>
      </c>
      <c r="G19" s="109">
        <f>E19/G3</f>
        <v>0.39938483561166283</v>
      </c>
      <c r="H19" s="92">
        <f>(('Renewable Electricity'!I15*3412/1000000)/Summary!H3)</f>
        <v>0.22120766400326322</v>
      </c>
      <c r="I19" s="158">
        <f>E19/G12</f>
        <v>5.1612386834039951E-2</v>
      </c>
    </row>
    <row r="22" spans="1:9" x14ac:dyDescent="0.3">
      <c r="A22" t="s">
        <v>156</v>
      </c>
    </row>
    <row r="23" spans="1:9" x14ac:dyDescent="0.3">
      <c r="A23" s="68"/>
    </row>
  </sheetData>
  <mergeCells count="2">
    <mergeCell ref="A1:P1"/>
    <mergeCell ref="A14:I14"/>
  </mergeCells>
  <printOptions gridLines="1"/>
  <pageMargins left="0.7" right="0.7" top="0.75" bottom="0.75" header="0.3" footer="0.3"/>
  <pageSetup scale="7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259D8-5063-46E1-AFA4-28D144499DEF}">
  <dimension ref="A1:Q10"/>
  <sheetViews>
    <sheetView workbookViewId="0">
      <selection sqref="A1:L1"/>
    </sheetView>
  </sheetViews>
  <sheetFormatPr defaultRowHeight="14.4" x14ac:dyDescent="0.3"/>
  <cols>
    <col min="14" max="14" width="29" customWidth="1"/>
  </cols>
  <sheetData>
    <row r="1" spans="1:17" ht="18" x14ac:dyDescent="0.35">
      <c r="A1" s="172" t="s">
        <v>140</v>
      </c>
      <c r="B1" s="172"/>
      <c r="C1" s="172"/>
      <c r="D1" s="172"/>
      <c r="E1" s="172"/>
      <c r="F1" s="172"/>
      <c r="G1" s="172"/>
      <c r="H1" s="172"/>
      <c r="I1" s="172"/>
      <c r="J1" s="172"/>
      <c r="K1" s="172"/>
      <c r="L1" s="172"/>
    </row>
    <row r="3" spans="1:17" ht="15.6" x14ac:dyDescent="0.3">
      <c r="N3" s="174" t="s">
        <v>261</v>
      </c>
      <c r="O3" s="174"/>
      <c r="P3" s="4" t="s">
        <v>71</v>
      </c>
      <c r="Q3" s="4" t="s">
        <v>6</v>
      </c>
    </row>
    <row r="4" spans="1:17" x14ac:dyDescent="0.3">
      <c r="N4" t="s">
        <v>73</v>
      </c>
      <c r="P4" s="10">
        <f>'Renewable Electricity'!D9</f>
        <v>179271</v>
      </c>
      <c r="Q4" s="2">
        <f>P4/$P$10</f>
        <v>0.18435495663924034</v>
      </c>
    </row>
    <row r="5" spans="1:17" x14ac:dyDescent="0.3">
      <c r="N5" t="s">
        <v>70</v>
      </c>
      <c r="P5" s="10">
        <f>'Renewable Electricity'!D12</f>
        <v>209100</v>
      </c>
      <c r="Q5" s="2">
        <f t="shared" ref="Q5:Q8" si="0">P5/$P$10</f>
        <v>0.21502987897242248</v>
      </c>
    </row>
    <row r="6" spans="1:17" x14ac:dyDescent="0.3">
      <c r="N6" t="s">
        <v>139</v>
      </c>
      <c r="P6" s="10">
        <f>-'Renewable.Connect 2020'!F34</f>
        <v>319792.96000000002</v>
      </c>
      <c r="Q6" s="2">
        <f t="shared" si="0"/>
        <v>0.32886198701593855</v>
      </c>
    </row>
    <row r="7" spans="1:17" x14ac:dyDescent="0.3">
      <c r="N7" t="s">
        <v>69</v>
      </c>
      <c r="P7" s="10">
        <f>'Renewable.Connect 2020'!H17</f>
        <v>246978.16</v>
      </c>
      <c r="Q7" s="2">
        <f t="shared" si="0"/>
        <v>0.25398222789876423</v>
      </c>
    </row>
    <row r="8" spans="1:17" x14ac:dyDescent="0.3">
      <c r="N8" t="s">
        <v>133</v>
      </c>
      <c r="P8" s="10">
        <f>'Renewable.Connect 2020'!G26+'Renewable.Connect 2020'!G29</f>
        <v>17280.879999999997</v>
      </c>
      <c r="Q8" s="2">
        <f t="shared" si="0"/>
        <v>1.7770949473634414E-2</v>
      </c>
    </row>
    <row r="10" spans="1:17" x14ac:dyDescent="0.3">
      <c r="N10" s="4" t="s">
        <v>72</v>
      </c>
      <c r="O10" s="4"/>
      <c r="P10" s="27">
        <f>SUM(P4:P8)</f>
        <v>972423</v>
      </c>
      <c r="Q10" s="12">
        <f>SUM(Q4:Q8)</f>
        <v>1</v>
      </c>
    </row>
  </sheetData>
  <mergeCells count="2">
    <mergeCell ref="A1:L1"/>
    <mergeCell ref="N3:O3"/>
  </mergeCells>
  <printOptions gridLines="1"/>
  <pageMargins left="0.7" right="0.7" top="0.75" bottom="0.75" header="0.3" footer="0.3"/>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E1F4C-B54B-41CC-9C8F-474E344713C7}">
  <sheetPr>
    <pageSetUpPr fitToPage="1"/>
  </sheetPr>
  <dimension ref="A1:A12"/>
  <sheetViews>
    <sheetView workbookViewId="0"/>
  </sheetViews>
  <sheetFormatPr defaultRowHeight="14.4" x14ac:dyDescent="0.3"/>
  <cols>
    <col min="1" max="1" width="186.44140625" customWidth="1"/>
  </cols>
  <sheetData>
    <row r="1" spans="1:1" x14ac:dyDescent="0.3">
      <c r="A1" t="s">
        <v>117</v>
      </c>
    </row>
    <row r="2" spans="1:1" x14ac:dyDescent="0.3">
      <c r="A2" t="s">
        <v>256</v>
      </c>
    </row>
    <row r="3" spans="1:1" x14ac:dyDescent="0.3">
      <c r="A3" t="s">
        <v>114</v>
      </c>
    </row>
    <row r="4" spans="1:1" x14ac:dyDescent="0.3">
      <c r="A4" t="s">
        <v>115</v>
      </c>
    </row>
    <row r="5" spans="1:1" x14ac:dyDescent="0.3">
      <c r="A5" t="s">
        <v>118</v>
      </c>
    </row>
    <row r="6" spans="1:1" x14ac:dyDescent="0.3">
      <c r="A6" t="s">
        <v>167</v>
      </c>
    </row>
    <row r="7" spans="1:1" x14ac:dyDescent="0.3">
      <c r="A7" t="s">
        <v>119</v>
      </c>
    </row>
    <row r="8" spans="1:1" x14ac:dyDescent="0.3">
      <c r="A8" t="s">
        <v>168</v>
      </c>
    </row>
    <row r="9" spans="1:1" x14ac:dyDescent="0.3">
      <c r="A9" t="s">
        <v>116</v>
      </c>
    </row>
    <row r="10" spans="1:1" x14ac:dyDescent="0.3">
      <c r="A10" t="s">
        <v>255</v>
      </c>
    </row>
    <row r="11" spans="1:1" x14ac:dyDescent="0.3">
      <c r="A11" t="s">
        <v>159</v>
      </c>
    </row>
    <row r="12" spans="1:1" x14ac:dyDescent="0.3">
      <c r="A12" t="s">
        <v>169</v>
      </c>
    </row>
  </sheetData>
  <pageMargins left="0.7" right="0.7" top="0.75" bottom="0.7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BE74C-5407-4B25-98B3-2A2B2D64DE21}">
  <sheetPr>
    <pageSetUpPr fitToPage="1"/>
  </sheetPr>
  <dimension ref="A1:S28"/>
  <sheetViews>
    <sheetView workbookViewId="0">
      <selection activeCell="C7" sqref="C7"/>
    </sheetView>
  </sheetViews>
  <sheetFormatPr defaultRowHeight="14.4" x14ac:dyDescent="0.3"/>
  <cols>
    <col min="1" max="1" width="28.109375" customWidth="1"/>
    <col min="2" max="2" width="32.77734375" customWidth="1"/>
    <col min="3" max="3" width="8.77734375" customWidth="1"/>
    <col min="4" max="4" width="9.44140625" customWidth="1"/>
    <col min="5" max="6" width="9.109375" customWidth="1"/>
    <col min="10" max="10" width="10.21875" customWidth="1"/>
    <col min="11" max="11" width="10.6640625" customWidth="1"/>
    <col min="12" max="12" width="10.21875" customWidth="1"/>
    <col min="13" max="13" width="11.33203125" bestFit="1" customWidth="1"/>
    <col min="14" max="14" width="12.5546875" customWidth="1"/>
    <col min="15" max="15" width="12.21875" customWidth="1"/>
  </cols>
  <sheetData>
    <row r="1" spans="1:19" ht="18" x14ac:dyDescent="0.35">
      <c r="A1" s="172" t="s">
        <v>158</v>
      </c>
      <c r="B1" s="172"/>
      <c r="C1" s="172"/>
      <c r="D1" s="172"/>
      <c r="E1" s="172"/>
      <c r="F1" s="172"/>
      <c r="G1" s="172"/>
      <c r="H1" s="172"/>
      <c r="I1" s="172"/>
      <c r="K1" s="172" t="s">
        <v>257</v>
      </c>
      <c r="L1" s="172"/>
      <c r="M1" s="172"/>
      <c r="N1" s="172"/>
      <c r="O1" s="172"/>
      <c r="P1" s="172"/>
      <c r="Q1" s="172"/>
      <c r="R1" s="172"/>
      <c r="S1" s="172"/>
    </row>
    <row r="2" spans="1:19" ht="57.6" x14ac:dyDescent="0.3">
      <c r="A2" t="s">
        <v>8</v>
      </c>
      <c r="B2" t="s">
        <v>9</v>
      </c>
      <c r="C2" s="112" t="s">
        <v>166</v>
      </c>
      <c r="D2" s="112" t="s">
        <v>150</v>
      </c>
      <c r="E2" s="3" t="s">
        <v>165</v>
      </c>
      <c r="F2" s="3" t="s">
        <v>40</v>
      </c>
      <c r="G2" s="113" t="s">
        <v>11</v>
      </c>
      <c r="H2" s="112" t="s">
        <v>44</v>
      </c>
      <c r="I2" t="s">
        <v>10</v>
      </c>
      <c r="J2" s="3" t="s">
        <v>46</v>
      </c>
      <c r="K2" s="112" t="s">
        <v>41</v>
      </c>
      <c r="L2" s="3" t="s">
        <v>16</v>
      </c>
      <c r="M2" s="6" t="s">
        <v>17</v>
      </c>
      <c r="N2" s="6" t="s">
        <v>55</v>
      </c>
      <c r="O2" s="6" t="s">
        <v>60</v>
      </c>
      <c r="P2" s="3" t="s">
        <v>34</v>
      </c>
    </row>
    <row r="3" spans="1:19" ht="17.399999999999999" customHeight="1" x14ac:dyDescent="0.3">
      <c r="A3" t="s">
        <v>38</v>
      </c>
      <c r="B3" t="s">
        <v>52</v>
      </c>
      <c r="C3" s="121">
        <v>15593</v>
      </c>
      <c r="D3" s="122">
        <v>1995</v>
      </c>
      <c r="E3" s="10">
        <v>15431</v>
      </c>
      <c r="F3" s="14">
        <v>1992</v>
      </c>
      <c r="G3" s="121">
        <v>11008</v>
      </c>
      <c r="H3" s="128">
        <v>1492</v>
      </c>
      <c r="I3" s="10">
        <v>12002</v>
      </c>
      <c r="J3" s="14">
        <v>1627</v>
      </c>
      <c r="K3" s="130">
        <f t="shared" ref="K3:K10" si="0">F3/E3</f>
        <v>0.12909079126433803</v>
      </c>
      <c r="L3" s="3" t="s">
        <v>39</v>
      </c>
      <c r="M3" s="6">
        <v>64330371</v>
      </c>
      <c r="N3" s="1">
        <v>302338390</v>
      </c>
      <c r="O3" s="1" t="s">
        <v>61</v>
      </c>
    </row>
    <row r="4" spans="1:19" ht="16.8" customHeight="1" x14ac:dyDescent="0.3">
      <c r="A4" s="7" t="s">
        <v>20</v>
      </c>
      <c r="B4" s="7" t="s">
        <v>21</v>
      </c>
      <c r="C4" s="123">
        <v>2141</v>
      </c>
      <c r="D4" s="124">
        <v>451</v>
      </c>
      <c r="E4" s="10">
        <v>2112</v>
      </c>
      <c r="F4" s="14">
        <v>450</v>
      </c>
      <c r="G4" s="121">
        <v>2700</v>
      </c>
      <c r="H4" s="128">
        <v>493</v>
      </c>
      <c r="I4" s="10">
        <v>1475</v>
      </c>
      <c r="J4" s="14">
        <v>349</v>
      </c>
      <c r="K4" s="130">
        <f t="shared" si="0"/>
        <v>0.21306818181818182</v>
      </c>
      <c r="L4" s="3" t="s">
        <v>39</v>
      </c>
      <c r="M4">
        <v>63093703</v>
      </c>
      <c r="N4" s="1">
        <v>303195691</v>
      </c>
      <c r="O4" s="1" t="s">
        <v>61</v>
      </c>
      <c r="P4" t="s">
        <v>65</v>
      </c>
    </row>
    <row r="5" spans="1:19" x14ac:dyDescent="0.3">
      <c r="A5" t="s">
        <v>49</v>
      </c>
      <c r="B5" t="s">
        <v>51</v>
      </c>
      <c r="C5" s="121">
        <v>285600</v>
      </c>
      <c r="D5" s="124">
        <v>17023</v>
      </c>
      <c r="E5" s="10">
        <v>299680</v>
      </c>
      <c r="F5" s="14">
        <v>18676</v>
      </c>
      <c r="G5" s="121">
        <v>298400</v>
      </c>
      <c r="H5" s="128">
        <v>24125</v>
      </c>
      <c r="I5" s="10">
        <v>300000</v>
      </c>
      <c r="J5" s="14">
        <v>32360</v>
      </c>
      <c r="K5" s="130">
        <f t="shared" si="0"/>
        <v>6.2319807794981315E-2</v>
      </c>
      <c r="L5" s="3" t="s">
        <v>43</v>
      </c>
      <c r="M5">
        <v>2655833</v>
      </c>
      <c r="N5" s="1">
        <v>302580064</v>
      </c>
      <c r="O5" s="1" t="s">
        <v>61</v>
      </c>
      <c r="P5" t="s">
        <v>105</v>
      </c>
    </row>
    <row r="6" spans="1:19" x14ac:dyDescent="0.3">
      <c r="A6" t="s">
        <v>202</v>
      </c>
      <c r="B6" t="s">
        <v>50</v>
      </c>
      <c r="C6" s="125">
        <v>128</v>
      </c>
      <c r="D6" s="124">
        <v>464</v>
      </c>
      <c r="E6" s="10">
        <v>183</v>
      </c>
      <c r="F6" s="14">
        <v>458</v>
      </c>
      <c r="G6" s="121">
        <v>80</v>
      </c>
      <c r="H6" s="128">
        <v>443</v>
      </c>
      <c r="I6" s="10">
        <v>66</v>
      </c>
      <c r="J6" s="14">
        <v>435</v>
      </c>
      <c r="K6" s="130">
        <f t="shared" si="0"/>
        <v>2.5027322404371586</v>
      </c>
      <c r="L6" s="3" t="s">
        <v>89</v>
      </c>
      <c r="M6">
        <v>1720712</v>
      </c>
      <c r="N6" s="1">
        <v>303189626</v>
      </c>
      <c r="O6" s="1" t="s">
        <v>87</v>
      </c>
      <c r="P6" t="s">
        <v>88</v>
      </c>
    </row>
    <row r="7" spans="1:19" x14ac:dyDescent="0.3">
      <c r="A7" s="7" t="s">
        <v>19</v>
      </c>
      <c r="B7" s="7" t="s">
        <v>53</v>
      </c>
      <c r="C7" s="123">
        <v>3107</v>
      </c>
      <c r="D7" s="124">
        <v>799</v>
      </c>
      <c r="E7" s="10">
        <v>11002</v>
      </c>
      <c r="F7" s="14">
        <v>1522</v>
      </c>
      <c r="G7" s="121">
        <v>12420</v>
      </c>
      <c r="H7" s="128">
        <v>1698</v>
      </c>
      <c r="I7" s="10">
        <v>9957</v>
      </c>
      <c r="J7" s="14">
        <v>1437</v>
      </c>
      <c r="K7" s="130">
        <f t="shared" si="0"/>
        <v>0.138338483912016</v>
      </c>
      <c r="L7" s="3" t="s">
        <v>39</v>
      </c>
      <c r="M7">
        <v>143866319</v>
      </c>
      <c r="N7" s="1">
        <v>304431259</v>
      </c>
      <c r="O7" s="1" t="s">
        <v>61</v>
      </c>
      <c r="P7" t="s">
        <v>106</v>
      </c>
    </row>
    <row r="8" spans="1:19" x14ac:dyDescent="0.3">
      <c r="A8" t="s">
        <v>18</v>
      </c>
      <c r="B8" t="s">
        <v>54</v>
      </c>
      <c r="C8" s="121">
        <v>17320</v>
      </c>
      <c r="D8" s="124">
        <v>4324</v>
      </c>
      <c r="E8" s="10">
        <v>56880</v>
      </c>
      <c r="F8" s="14">
        <v>7661</v>
      </c>
      <c r="G8" s="121">
        <v>60400</v>
      </c>
      <c r="H8" s="128">
        <v>7550</v>
      </c>
      <c r="I8" s="10">
        <v>54240</v>
      </c>
      <c r="J8" s="14">
        <v>7563</v>
      </c>
      <c r="K8" s="130">
        <f t="shared" si="0"/>
        <v>0.13468706047819973</v>
      </c>
      <c r="L8" s="3" t="s">
        <v>43</v>
      </c>
      <c r="M8">
        <v>2708354</v>
      </c>
      <c r="N8" s="1">
        <v>303917428</v>
      </c>
      <c r="O8" s="1" t="s">
        <v>61</v>
      </c>
    </row>
    <row r="9" spans="1:19" x14ac:dyDescent="0.3">
      <c r="A9" t="s">
        <v>56</v>
      </c>
      <c r="B9" t="s">
        <v>54</v>
      </c>
      <c r="C9" s="113">
        <v>6855</v>
      </c>
      <c r="D9" s="124">
        <v>976</v>
      </c>
      <c r="E9" s="10">
        <v>1789</v>
      </c>
      <c r="F9" s="14">
        <v>424.89</v>
      </c>
      <c r="G9" s="121">
        <v>3205</v>
      </c>
      <c r="H9" s="128">
        <v>566</v>
      </c>
      <c r="I9" s="10">
        <v>2917</v>
      </c>
      <c r="J9" s="14">
        <v>525</v>
      </c>
      <c r="K9" s="130">
        <f t="shared" si="0"/>
        <v>0.23750139742873114</v>
      </c>
      <c r="L9" s="3" t="s">
        <v>39</v>
      </c>
      <c r="M9">
        <v>63855215</v>
      </c>
      <c r="N9" s="1">
        <v>303197394</v>
      </c>
      <c r="O9" s="1" t="s">
        <v>61</v>
      </c>
    </row>
    <row r="10" spans="1:19" x14ac:dyDescent="0.3">
      <c r="A10" t="s">
        <v>57</v>
      </c>
      <c r="B10" t="s">
        <v>27</v>
      </c>
      <c r="C10" s="113">
        <v>6801</v>
      </c>
      <c r="D10" s="124">
        <v>976</v>
      </c>
      <c r="E10" s="10">
        <v>5527</v>
      </c>
      <c r="F10" s="14">
        <v>841</v>
      </c>
      <c r="G10" s="121">
        <v>3792</v>
      </c>
      <c r="H10" s="128">
        <v>626</v>
      </c>
      <c r="I10" s="10">
        <v>3710</v>
      </c>
      <c r="J10" s="14">
        <v>616</v>
      </c>
      <c r="K10" s="130">
        <f t="shared" si="0"/>
        <v>0.15216211326216755</v>
      </c>
      <c r="L10" s="3" t="s">
        <v>39</v>
      </c>
      <c r="M10">
        <v>115258007</v>
      </c>
      <c r="N10" s="1">
        <v>304462005</v>
      </c>
      <c r="O10" s="1" t="s">
        <v>61</v>
      </c>
      <c r="P10" t="s">
        <v>64</v>
      </c>
    </row>
    <row r="11" spans="1:19" x14ac:dyDescent="0.3">
      <c r="A11" s="7" t="s">
        <v>254</v>
      </c>
      <c r="B11" s="7" t="s">
        <v>27</v>
      </c>
      <c r="C11" s="123">
        <v>943</v>
      </c>
      <c r="D11" s="124">
        <v>420</v>
      </c>
      <c r="E11" s="23">
        <v>2070</v>
      </c>
      <c r="F11" s="14">
        <v>458</v>
      </c>
      <c r="G11" s="129">
        <v>4089</v>
      </c>
      <c r="H11" s="128">
        <v>795</v>
      </c>
      <c r="I11" s="10">
        <v>5833</v>
      </c>
      <c r="J11" s="14">
        <v>870</v>
      </c>
      <c r="K11" s="130" t="s">
        <v>90</v>
      </c>
      <c r="L11" s="3" t="s">
        <v>39</v>
      </c>
      <c r="M11">
        <v>143866334</v>
      </c>
      <c r="N11" s="1">
        <v>302933807</v>
      </c>
      <c r="O11" s="1" t="s">
        <v>61</v>
      </c>
      <c r="P11" t="s">
        <v>63</v>
      </c>
    </row>
    <row r="12" spans="1:19" x14ac:dyDescent="0.3">
      <c r="A12" s="7" t="s">
        <v>24</v>
      </c>
      <c r="B12" s="7" t="s">
        <v>25</v>
      </c>
      <c r="C12" s="126">
        <v>14196</v>
      </c>
      <c r="D12" s="124">
        <v>2185</v>
      </c>
      <c r="E12" s="10">
        <f>(F12-132)/0.1198</f>
        <v>13038.397328881469</v>
      </c>
      <c r="F12" s="14">
        <v>1694</v>
      </c>
      <c r="G12" s="121">
        <f>(H12-132)/0.1198</f>
        <v>14006.677796327212</v>
      </c>
      <c r="H12" s="128">
        <v>1810</v>
      </c>
      <c r="I12" s="10">
        <f>(J12-132)/0.1198</f>
        <v>11560.934891485809</v>
      </c>
      <c r="J12" s="14">
        <v>1517</v>
      </c>
      <c r="K12" s="130">
        <f>F12/E12</f>
        <v>0.12992394366197182</v>
      </c>
      <c r="L12" s="3" t="s">
        <v>93</v>
      </c>
      <c r="N12" s="1">
        <v>303486359</v>
      </c>
      <c r="O12" s="1" t="s">
        <v>91</v>
      </c>
      <c r="P12" t="s">
        <v>92</v>
      </c>
    </row>
    <row r="13" spans="1:19" x14ac:dyDescent="0.3">
      <c r="A13" s="7" t="s">
        <v>58</v>
      </c>
      <c r="B13" s="7" t="s">
        <v>59</v>
      </c>
      <c r="C13" s="123">
        <v>404720</v>
      </c>
      <c r="D13" s="124">
        <v>28778.37</v>
      </c>
      <c r="E13" s="10">
        <v>549840</v>
      </c>
      <c r="F13" s="14">
        <v>37526</v>
      </c>
      <c r="G13" s="121">
        <v>562000</v>
      </c>
      <c r="H13" s="128">
        <v>43941</v>
      </c>
      <c r="I13" s="10">
        <v>557280</v>
      </c>
      <c r="J13" s="14">
        <v>47985</v>
      </c>
      <c r="K13" s="130">
        <f>F13/E13</f>
        <v>6.8248945147679319E-2</v>
      </c>
      <c r="L13" s="3" t="s">
        <v>43</v>
      </c>
      <c r="M13">
        <v>19636853</v>
      </c>
      <c r="N13" s="1">
        <v>303744240</v>
      </c>
      <c r="O13" s="1" t="s">
        <v>61</v>
      </c>
      <c r="P13" t="s">
        <v>45</v>
      </c>
    </row>
    <row r="14" spans="1:19" x14ac:dyDescent="0.3">
      <c r="A14" s="7" t="s">
        <v>22</v>
      </c>
      <c r="B14" s="7" t="s">
        <v>23</v>
      </c>
      <c r="C14" s="123">
        <v>5218</v>
      </c>
      <c r="D14" s="124">
        <v>798</v>
      </c>
      <c r="E14" s="10">
        <v>5895</v>
      </c>
      <c r="F14" s="14">
        <v>879</v>
      </c>
      <c r="G14" s="121">
        <v>5118</v>
      </c>
      <c r="H14" s="128">
        <v>781</v>
      </c>
      <c r="I14" s="10">
        <v>4449</v>
      </c>
      <c r="J14" s="14">
        <v>704</v>
      </c>
      <c r="K14" s="130">
        <f>F14/E14</f>
        <v>0.14910941475826972</v>
      </c>
      <c r="L14" s="3" t="s">
        <v>39</v>
      </c>
      <c r="M14">
        <v>63096781</v>
      </c>
      <c r="N14" s="1">
        <v>303402426</v>
      </c>
      <c r="O14" s="1" t="s">
        <v>61</v>
      </c>
    </row>
    <row r="15" spans="1:19" x14ac:dyDescent="0.3">
      <c r="A15" t="s">
        <v>86</v>
      </c>
      <c r="C15" s="127">
        <v>8414</v>
      </c>
      <c r="D15" s="124">
        <v>1642</v>
      </c>
      <c r="E15" s="23">
        <v>8669</v>
      </c>
      <c r="F15" s="14">
        <v>1676</v>
      </c>
      <c r="G15" s="121">
        <v>7035</v>
      </c>
      <c r="H15" s="128">
        <v>1454</v>
      </c>
      <c r="I15" s="10">
        <v>6582</v>
      </c>
      <c r="J15" s="14">
        <v>1380</v>
      </c>
      <c r="K15" s="130">
        <f>F15/E15</f>
        <v>0.19333256430960896</v>
      </c>
      <c r="L15" s="3" t="s">
        <v>89</v>
      </c>
      <c r="M15">
        <v>1721017</v>
      </c>
      <c r="N15" s="1" t="s">
        <v>84</v>
      </c>
      <c r="O15" s="1" t="s">
        <v>62</v>
      </c>
      <c r="P15" t="s">
        <v>85</v>
      </c>
    </row>
    <row r="16" spans="1:19" x14ac:dyDescent="0.3">
      <c r="A16" s="7" t="s">
        <v>203</v>
      </c>
      <c r="C16" s="123">
        <v>1060</v>
      </c>
      <c r="D16" s="124">
        <v>329</v>
      </c>
      <c r="E16" s="20"/>
      <c r="F16" s="14"/>
      <c r="G16" s="121"/>
      <c r="H16" s="128"/>
      <c r="I16" s="10"/>
      <c r="J16" s="14"/>
      <c r="K16" s="130"/>
      <c r="L16" s="3"/>
      <c r="N16" s="1"/>
      <c r="O16" s="1"/>
    </row>
    <row r="17" spans="1:16" x14ac:dyDescent="0.3">
      <c r="A17" s="7" t="s">
        <v>204</v>
      </c>
      <c r="C17" s="123">
        <v>9759</v>
      </c>
      <c r="D17" s="124">
        <v>1323</v>
      </c>
      <c r="E17" s="20"/>
      <c r="F17" s="14"/>
      <c r="G17" s="121"/>
      <c r="H17" s="128"/>
      <c r="I17" s="10"/>
      <c r="J17" s="14"/>
      <c r="K17" s="130"/>
      <c r="L17" s="3"/>
      <c r="N17" s="1"/>
      <c r="O17" s="1"/>
    </row>
    <row r="18" spans="1:16" x14ac:dyDescent="0.3">
      <c r="A18" s="7" t="s">
        <v>271</v>
      </c>
      <c r="B18" t="s">
        <v>272</v>
      </c>
      <c r="C18" s="123">
        <v>6047</v>
      </c>
      <c r="D18" s="124">
        <v>898</v>
      </c>
      <c r="E18" s="20"/>
      <c r="F18" s="14"/>
      <c r="G18" s="121"/>
      <c r="H18" s="128"/>
      <c r="I18" s="10"/>
      <c r="J18" s="14"/>
      <c r="K18" s="130"/>
      <c r="L18" s="3"/>
      <c r="N18" s="1"/>
      <c r="O18" s="1"/>
    </row>
    <row r="19" spans="1:16" x14ac:dyDescent="0.3">
      <c r="A19" s="7"/>
      <c r="B19" s="7"/>
      <c r="C19" s="123"/>
      <c r="D19" s="124"/>
      <c r="E19" s="10"/>
      <c r="F19" s="14"/>
      <c r="G19" s="121"/>
      <c r="H19" s="128"/>
      <c r="I19" s="10"/>
      <c r="J19" s="14"/>
      <c r="K19" s="130"/>
      <c r="L19" s="3"/>
      <c r="N19" s="1"/>
      <c r="O19" s="1"/>
    </row>
    <row r="20" spans="1:16" x14ac:dyDescent="0.3">
      <c r="A20" s="173" t="s">
        <v>160</v>
      </c>
      <c r="B20" s="173"/>
      <c r="C20" s="126">
        <f>'Renewable Electricity'!D13</f>
        <v>184521</v>
      </c>
      <c r="D20" s="124"/>
      <c r="E20" s="10">
        <f>'Renewable Electricity'!W15</f>
        <v>14888.284374999999</v>
      </c>
      <c r="F20" s="14"/>
      <c r="G20" s="121">
        <f>'Renewable Electricity'!L15</f>
        <v>5180</v>
      </c>
      <c r="H20" s="128"/>
      <c r="I20" s="10">
        <f>'Renewable Electricity'!M15</f>
        <v>3730</v>
      </c>
      <c r="J20" s="14"/>
      <c r="K20" s="130"/>
      <c r="L20" s="3"/>
      <c r="N20" s="1"/>
      <c r="O20" s="1"/>
    </row>
    <row r="21" spans="1:16" ht="15" customHeight="1" x14ac:dyDescent="0.3">
      <c r="A21" s="7"/>
      <c r="B21" s="7"/>
      <c r="C21" s="123"/>
      <c r="D21" s="124"/>
      <c r="E21" s="10"/>
      <c r="F21" s="14"/>
      <c r="G21" s="10"/>
      <c r="H21" s="14"/>
      <c r="I21" s="10"/>
      <c r="J21" s="14"/>
      <c r="K21" s="130"/>
      <c r="L21" s="3"/>
      <c r="N21" s="1"/>
      <c r="O21" s="1"/>
    </row>
    <row r="22" spans="1:16" x14ac:dyDescent="0.3">
      <c r="A22" t="s">
        <v>212</v>
      </c>
      <c r="C22" s="121">
        <f>SUM(C3:C20)</f>
        <v>972423</v>
      </c>
      <c r="D22" s="124">
        <f>SUM(D3:D18)</f>
        <v>63381.369999999995</v>
      </c>
      <c r="E22" s="10">
        <f>SUM(E3:E20)</f>
        <v>987004.68170388159</v>
      </c>
      <c r="F22" s="14">
        <f>SUM(F3:F15)</f>
        <v>74257.89</v>
      </c>
      <c r="G22" s="10">
        <f>SUM(G3:G20)</f>
        <v>989433.67779632728</v>
      </c>
      <c r="H22" s="14">
        <f>SUM(H3:H15)</f>
        <v>85774</v>
      </c>
      <c r="I22" s="10">
        <f>SUM(I3:I20)</f>
        <v>973801.93489148584</v>
      </c>
      <c r="J22" s="14">
        <f>SUM(J3:J15)</f>
        <v>97368</v>
      </c>
      <c r="K22" s="130">
        <f>F22/E22</f>
        <v>7.5235600576693762E-2</v>
      </c>
      <c r="N22" s="1"/>
      <c r="O22" s="1"/>
    </row>
    <row r="23" spans="1:16" x14ac:dyDescent="0.3">
      <c r="E23" s="10"/>
      <c r="F23" s="10"/>
      <c r="G23" s="10"/>
      <c r="H23" s="10"/>
      <c r="I23" s="10"/>
      <c r="J23" s="14"/>
      <c r="K23" s="15"/>
      <c r="N23" s="1"/>
      <c r="O23" s="1"/>
    </row>
    <row r="24" spans="1:16" ht="15.6" customHeight="1" x14ac:dyDescent="0.3">
      <c r="A24" s="173" t="s">
        <v>164</v>
      </c>
      <c r="B24" s="173"/>
      <c r="C24" s="173"/>
      <c r="D24" s="173"/>
      <c r="E24" s="173"/>
      <c r="F24" s="173"/>
      <c r="G24" s="173"/>
      <c r="H24" s="173"/>
      <c r="I24" s="173"/>
      <c r="J24" s="173"/>
      <c r="K24" s="173"/>
      <c r="N24" s="1"/>
      <c r="O24" s="1"/>
    </row>
    <row r="25" spans="1:16" x14ac:dyDescent="0.3">
      <c r="A25" s="66"/>
      <c r="B25" s="66"/>
      <c r="K25" s="171" t="s">
        <v>258</v>
      </c>
      <c r="L25" s="171"/>
      <c r="M25" s="171"/>
      <c r="N25" s="171"/>
      <c r="O25" s="171"/>
    </row>
    <row r="26" spans="1:16" ht="57.6" x14ac:dyDescent="0.3">
      <c r="A26" t="s">
        <v>253</v>
      </c>
      <c r="C26" s="112" t="s">
        <v>166</v>
      </c>
      <c r="D26" s="112" t="s">
        <v>150</v>
      </c>
      <c r="E26" s="3" t="s">
        <v>165</v>
      </c>
      <c r="F26" s="3" t="s">
        <v>40</v>
      </c>
      <c r="G26" s="113" t="s">
        <v>11</v>
      </c>
      <c r="H26" s="112" t="s">
        <v>44</v>
      </c>
      <c r="I26" t="s">
        <v>10</v>
      </c>
      <c r="J26" s="3" t="s">
        <v>46</v>
      </c>
      <c r="K26" s="112" t="s">
        <v>41</v>
      </c>
      <c r="L26" s="3" t="s">
        <v>198</v>
      </c>
      <c r="M26" s="3" t="s">
        <v>199</v>
      </c>
      <c r="N26" s="3" t="s">
        <v>200</v>
      </c>
      <c r="O26" s="3" t="s">
        <v>201</v>
      </c>
    </row>
    <row r="27" spans="1:16" x14ac:dyDescent="0.3">
      <c r="A27" s="7" t="s">
        <v>58</v>
      </c>
      <c r="B27" s="7" t="s">
        <v>59</v>
      </c>
      <c r="C27" s="121">
        <f>C13</f>
        <v>404720</v>
      </c>
      <c r="D27" s="131">
        <f>D13</f>
        <v>28778.37</v>
      </c>
      <c r="E27" s="10">
        <v>549840</v>
      </c>
      <c r="F27" s="14">
        <v>40768.97</v>
      </c>
      <c r="G27" s="121">
        <v>562000</v>
      </c>
      <c r="H27" s="128">
        <v>43941</v>
      </c>
      <c r="I27" s="10">
        <v>557280</v>
      </c>
      <c r="J27" s="14">
        <v>47985</v>
      </c>
      <c r="K27" s="130">
        <f>F27/E27</f>
        <v>7.4146970027644407E-2</v>
      </c>
      <c r="L27" s="65">
        <f>1-D27/F27</f>
        <v>0.29411093780392294</v>
      </c>
      <c r="M27" s="2">
        <f>1-F27/H27</f>
        <v>7.2188388976127005E-2</v>
      </c>
      <c r="N27" s="2">
        <f>1-H27/J27</f>
        <v>8.4276336355111003E-2</v>
      </c>
      <c r="O27" s="2">
        <f>1-D27/J27</f>
        <v>0.40026320725226638</v>
      </c>
      <c r="P27" t="s">
        <v>58</v>
      </c>
    </row>
    <row r="28" spans="1:16" x14ac:dyDescent="0.3">
      <c r="A28" t="s">
        <v>49</v>
      </c>
      <c r="B28" t="s">
        <v>51</v>
      </c>
      <c r="C28" s="121">
        <f>C5</f>
        <v>285600</v>
      </c>
      <c r="D28" s="129">
        <f>D5</f>
        <v>17023</v>
      </c>
      <c r="E28" s="10">
        <v>299680</v>
      </c>
      <c r="F28" s="14">
        <v>18676</v>
      </c>
      <c r="G28" s="121">
        <v>298400</v>
      </c>
      <c r="H28" s="128">
        <v>24125</v>
      </c>
      <c r="I28" s="10">
        <v>300000</v>
      </c>
      <c r="J28" s="14">
        <v>32360</v>
      </c>
      <c r="K28" s="130">
        <f t="shared" ref="K28" si="1">F28/E28</f>
        <v>6.2319807794981315E-2</v>
      </c>
      <c r="L28" s="65">
        <f>1-D28/F28</f>
        <v>8.8509316770186364E-2</v>
      </c>
      <c r="M28" s="2">
        <f>1-F28/H28</f>
        <v>0.22586528497409331</v>
      </c>
      <c r="N28" s="2">
        <f>1-H28/J28</f>
        <v>0.25448084054388131</v>
      </c>
      <c r="O28" s="2">
        <f>1-D28/J28</f>
        <v>0.47394932014833124</v>
      </c>
      <c r="P28" t="s">
        <v>49</v>
      </c>
    </row>
  </sheetData>
  <mergeCells count="5">
    <mergeCell ref="K25:O25"/>
    <mergeCell ref="A1:I1"/>
    <mergeCell ref="A24:K24"/>
    <mergeCell ref="A20:B20"/>
    <mergeCell ref="K1:S1"/>
  </mergeCells>
  <printOptions gridLines="1"/>
  <pageMargins left="0.7" right="0.7" top="0.75" bottom="0.75" header="0.3" footer="0.3"/>
  <pageSetup scale="98"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15DBB-CCB6-4B5A-81B5-F5288FC7EF8E}">
  <dimension ref="A1:I22"/>
  <sheetViews>
    <sheetView topLeftCell="A3" workbookViewId="0">
      <selection activeCell="A22" sqref="A22"/>
    </sheetView>
  </sheetViews>
  <sheetFormatPr defaultRowHeight="14.4" x14ac:dyDescent="0.3"/>
  <cols>
    <col min="1" max="1" width="27.88671875" customWidth="1"/>
    <col min="2" max="2" width="11.88671875" customWidth="1"/>
    <col min="3" max="3" width="9.6640625" customWidth="1"/>
    <col min="4" max="4" width="8.44140625" customWidth="1"/>
    <col min="5" max="5" width="9.5546875" customWidth="1"/>
  </cols>
  <sheetData>
    <row r="1" spans="1:9" ht="15.6" x14ac:dyDescent="0.3">
      <c r="A1" s="174" t="s">
        <v>302</v>
      </c>
      <c r="B1" s="174"/>
      <c r="C1" s="174"/>
      <c r="D1" s="174"/>
      <c r="E1" s="174"/>
      <c r="F1" s="174"/>
      <c r="G1" s="174"/>
      <c r="H1" s="174"/>
      <c r="I1" s="174"/>
    </row>
    <row r="2" spans="1:9" ht="28.8" x14ac:dyDescent="0.3">
      <c r="A2" t="s">
        <v>8</v>
      </c>
      <c r="B2" s="113" t="s">
        <v>148</v>
      </c>
      <c r="C2" s="112" t="s">
        <v>149</v>
      </c>
      <c r="D2" s="3" t="s">
        <v>14</v>
      </c>
      <c r="E2" s="3" t="s">
        <v>42</v>
      </c>
      <c r="F2" s="112" t="s">
        <v>13</v>
      </c>
      <c r="G2" s="112" t="s">
        <v>47</v>
      </c>
      <c r="H2" s="3" t="s">
        <v>12</v>
      </c>
      <c r="I2" s="3" t="s">
        <v>15</v>
      </c>
    </row>
    <row r="3" spans="1:9" x14ac:dyDescent="0.3">
      <c r="A3" t="s">
        <v>38</v>
      </c>
      <c r="B3" s="112">
        <v>0</v>
      </c>
      <c r="C3" s="112">
        <v>0</v>
      </c>
      <c r="D3" s="3">
        <v>0</v>
      </c>
      <c r="E3" s="3">
        <v>0</v>
      </c>
      <c r="F3" s="112">
        <v>0</v>
      </c>
      <c r="G3" s="112">
        <v>0</v>
      </c>
      <c r="H3" s="3">
        <v>0</v>
      </c>
      <c r="I3" s="3">
        <v>0</v>
      </c>
    </row>
    <row r="4" spans="1:9" x14ac:dyDescent="0.3">
      <c r="A4" t="s">
        <v>20</v>
      </c>
      <c r="B4" s="112">
        <v>0</v>
      </c>
      <c r="C4" s="112">
        <v>0</v>
      </c>
      <c r="D4" s="10">
        <v>0</v>
      </c>
      <c r="E4" s="10">
        <v>0</v>
      </c>
      <c r="F4" s="121">
        <v>0</v>
      </c>
      <c r="G4" s="121">
        <v>0</v>
      </c>
      <c r="H4" s="10">
        <v>0</v>
      </c>
      <c r="I4" s="10">
        <v>0</v>
      </c>
    </row>
    <row r="5" spans="1:9" x14ac:dyDescent="0.3">
      <c r="A5" t="s">
        <v>49</v>
      </c>
      <c r="B5" s="121">
        <f>'Nat. Gas Entry Form'!H15</f>
        <v>23721</v>
      </c>
      <c r="C5" s="122">
        <f>'Nat. Gas Entry Form'!I15</f>
        <v>13051.190000000002</v>
      </c>
      <c r="D5" s="10">
        <v>23543</v>
      </c>
      <c r="E5" s="5">
        <v>14012</v>
      </c>
      <c r="F5" s="121">
        <v>20784</v>
      </c>
      <c r="G5" s="122">
        <v>13843</v>
      </c>
      <c r="H5" s="10">
        <v>19569</v>
      </c>
      <c r="I5" s="5">
        <v>12291</v>
      </c>
    </row>
    <row r="6" spans="1:9" x14ac:dyDescent="0.3">
      <c r="A6" t="s">
        <v>48</v>
      </c>
      <c r="B6" s="125">
        <v>17</v>
      </c>
      <c r="C6" s="155">
        <v>377</v>
      </c>
      <c r="D6" s="10">
        <v>949</v>
      </c>
      <c r="E6" s="5">
        <v>913</v>
      </c>
      <c r="F6" s="121">
        <v>420</v>
      </c>
      <c r="G6" s="122">
        <v>603</v>
      </c>
      <c r="H6" s="10">
        <v>51</v>
      </c>
      <c r="I6" s="5">
        <v>340</v>
      </c>
    </row>
    <row r="7" spans="1:9" x14ac:dyDescent="0.3">
      <c r="A7" t="s">
        <v>19</v>
      </c>
      <c r="B7" s="113">
        <f>'Nat. Gas Entry Form'!B15</f>
        <v>858</v>
      </c>
      <c r="C7" s="122">
        <f>'Nat. Gas Entry Form'!C15</f>
        <v>843.94999999999993</v>
      </c>
      <c r="D7" s="10">
        <v>999</v>
      </c>
      <c r="E7" s="5">
        <v>1015</v>
      </c>
      <c r="F7" s="121">
        <v>904</v>
      </c>
      <c r="G7" s="122">
        <v>987</v>
      </c>
      <c r="H7" s="10">
        <v>708</v>
      </c>
      <c r="I7" s="5">
        <v>800</v>
      </c>
    </row>
    <row r="8" spans="1:9" x14ac:dyDescent="0.3">
      <c r="A8" t="s">
        <v>251</v>
      </c>
      <c r="B8" s="112">
        <v>0</v>
      </c>
      <c r="C8" s="112">
        <v>0</v>
      </c>
      <c r="D8" s="10">
        <v>0</v>
      </c>
      <c r="E8" s="5">
        <v>0</v>
      </c>
      <c r="F8" s="121">
        <v>0</v>
      </c>
      <c r="G8" s="122">
        <v>0</v>
      </c>
      <c r="H8" s="10">
        <v>0</v>
      </c>
      <c r="I8" s="5">
        <v>0</v>
      </c>
    </row>
    <row r="9" spans="1:9" x14ac:dyDescent="0.3">
      <c r="A9" t="s">
        <v>18</v>
      </c>
      <c r="B9" s="121">
        <f>'Nat. Gas Entry Form'!L15</f>
        <v>13727</v>
      </c>
      <c r="C9" s="122">
        <f>'Nat. Gas Entry Form'!M15</f>
        <v>9169.0499999999993</v>
      </c>
      <c r="D9" s="10">
        <v>16989</v>
      </c>
      <c r="E9" s="5">
        <v>11082</v>
      </c>
      <c r="F9" s="121">
        <v>15132</v>
      </c>
      <c r="G9" s="122">
        <v>10213</v>
      </c>
      <c r="H9" s="10">
        <v>12519</v>
      </c>
      <c r="I9" s="5">
        <v>8394</v>
      </c>
    </row>
    <row r="10" spans="1:9" x14ac:dyDescent="0.3">
      <c r="A10" t="s">
        <v>57</v>
      </c>
      <c r="B10" s="112">
        <v>0</v>
      </c>
      <c r="C10" s="112">
        <v>0</v>
      </c>
      <c r="D10" s="10">
        <v>0</v>
      </c>
      <c r="E10" s="5">
        <v>0</v>
      </c>
      <c r="F10" s="121">
        <v>0</v>
      </c>
      <c r="G10" s="122">
        <v>0</v>
      </c>
      <c r="H10" s="10">
        <v>0</v>
      </c>
      <c r="I10" s="5">
        <v>0</v>
      </c>
    </row>
    <row r="11" spans="1:9" x14ac:dyDescent="0.3">
      <c r="A11" t="s">
        <v>104</v>
      </c>
      <c r="B11" s="112">
        <v>0</v>
      </c>
      <c r="C11" s="112">
        <v>0</v>
      </c>
      <c r="D11" s="10">
        <v>0</v>
      </c>
      <c r="E11" s="5">
        <v>0</v>
      </c>
      <c r="F11" s="121">
        <v>0</v>
      </c>
      <c r="G11" s="122">
        <v>0</v>
      </c>
      <c r="H11" s="10">
        <v>0</v>
      </c>
      <c r="I11" s="5">
        <v>0</v>
      </c>
    </row>
    <row r="12" spans="1:9" x14ac:dyDescent="0.3">
      <c r="A12" t="s">
        <v>24</v>
      </c>
      <c r="B12" s="113">
        <f>'Nat. Gas Entry Form'!D15</f>
        <v>6006</v>
      </c>
      <c r="C12" s="122">
        <f>'Nat. Gas Entry Form'!E15</f>
        <v>3809.7</v>
      </c>
      <c r="D12" s="10">
        <v>7282</v>
      </c>
      <c r="E12" s="5">
        <v>4964</v>
      </c>
      <c r="F12" s="121">
        <v>7172</v>
      </c>
      <c r="G12" s="122">
        <v>5018</v>
      </c>
      <c r="H12" s="10">
        <v>5562</v>
      </c>
      <c r="I12" s="5">
        <v>3922</v>
      </c>
    </row>
    <row r="13" spans="1:9" x14ac:dyDescent="0.3">
      <c r="A13" t="s">
        <v>58</v>
      </c>
      <c r="B13" s="121">
        <f>'Nat. Gas Entry Form'!J15</f>
        <v>27588</v>
      </c>
      <c r="C13" s="122">
        <f>'Nat. Gas Entry Form'!K15</f>
        <v>15715.210000000001</v>
      </c>
      <c r="D13" s="10">
        <v>30729</v>
      </c>
      <c r="E13" s="5">
        <v>18581</v>
      </c>
      <c r="F13" s="121">
        <v>30504</v>
      </c>
      <c r="G13" s="122">
        <v>20254</v>
      </c>
      <c r="H13" s="10">
        <v>29306</v>
      </c>
      <c r="I13" s="5">
        <v>18543</v>
      </c>
    </row>
    <row r="14" spans="1:9" x14ac:dyDescent="0.3">
      <c r="A14" t="s">
        <v>22</v>
      </c>
      <c r="B14" s="112">
        <v>0</v>
      </c>
      <c r="C14" s="112">
        <v>0</v>
      </c>
      <c r="D14" s="10">
        <v>0</v>
      </c>
      <c r="E14" s="5">
        <v>0</v>
      </c>
      <c r="F14" s="121">
        <v>0</v>
      </c>
      <c r="G14" s="122">
        <v>0</v>
      </c>
      <c r="H14" s="10">
        <v>0</v>
      </c>
      <c r="I14" s="5">
        <v>0</v>
      </c>
    </row>
    <row r="15" spans="1:9" x14ac:dyDescent="0.3">
      <c r="A15" t="s">
        <v>86</v>
      </c>
      <c r="B15" s="112">
        <v>0</v>
      </c>
      <c r="C15" s="112">
        <v>0</v>
      </c>
      <c r="D15" s="10">
        <v>0</v>
      </c>
      <c r="E15" s="5">
        <v>0</v>
      </c>
      <c r="F15" s="121">
        <v>0</v>
      </c>
      <c r="G15" s="122">
        <v>0</v>
      </c>
      <c r="H15" s="10">
        <v>0</v>
      </c>
      <c r="I15" s="5">
        <v>0</v>
      </c>
    </row>
    <row r="16" spans="1:9" x14ac:dyDescent="0.3">
      <c r="A16" t="s">
        <v>274</v>
      </c>
      <c r="B16" s="132">
        <f>'Nat. Gas Entry Form'!F15</f>
        <v>684.03522122969628</v>
      </c>
      <c r="C16" s="122">
        <f>'Nat. Gas Entry Form'!G15</f>
        <v>737.16000000000008</v>
      </c>
      <c r="D16" s="10"/>
      <c r="E16" s="5"/>
      <c r="F16" s="121"/>
      <c r="G16" s="122"/>
      <c r="H16" s="10"/>
      <c r="I16" s="5"/>
    </row>
    <row r="17" spans="1:9" x14ac:dyDescent="0.3">
      <c r="A17" s="7" t="s">
        <v>107</v>
      </c>
      <c r="B17" s="133">
        <f>-'Fleet Fuel'!B10</f>
        <v>-5959.0553660456571</v>
      </c>
      <c r="C17" s="134">
        <f>-'Fleet Fuel'!C10</f>
        <v>-3546.829753870375</v>
      </c>
      <c r="D17" s="10">
        <f>-'Fleet Fuel'!D10</f>
        <v>-4760</v>
      </c>
      <c r="E17" s="25">
        <f>-'Fleet Fuel'!E10</f>
        <v>-2833.1519999999996</v>
      </c>
      <c r="F17" s="121">
        <f>-'Fleet Fuel'!F10</f>
        <v>-3596</v>
      </c>
      <c r="G17" s="134">
        <f>-'Fleet Fuel'!G10</f>
        <v>-2394.9360000000001</v>
      </c>
      <c r="H17" s="10">
        <f>-'Fleet Fuel'!H10</f>
        <v>-3750</v>
      </c>
      <c r="I17" s="25">
        <f>-'Fleet Fuel'!I10</f>
        <v>-2355</v>
      </c>
    </row>
    <row r="18" spans="1:9" x14ac:dyDescent="0.3">
      <c r="B18" s="121">
        <f>SUM(B3:B17)</f>
        <v>66641.979855184036</v>
      </c>
      <c r="C18" s="122">
        <f t="shared" ref="C18:I18" si="0">SUM(C3:C17)</f>
        <v>40156.430246129632</v>
      </c>
      <c r="D18" s="10">
        <f t="shared" si="0"/>
        <v>75731</v>
      </c>
      <c r="E18" s="5">
        <f t="shared" si="0"/>
        <v>47733.847999999998</v>
      </c>
      <c r="F18" s="121">
        <f t="shared" si="0"/>
        <v>71320</v>
      </c>
      <c r="G18" s="122">
        <f t="shared" si="0"/>
        <v>48523.063999999998</v>
      </c>
      <c r="H18" s="10">
        <f t="shared" si="0"/>
        <v>63965</v>
      </c>
      <c r="I18" s="5">
        <f t="shared" si="0"/>
        <v>41935</v>
      </c>
    </row>
    <row r="20" spans="1:9" x14ac:dyDescent="0.3">
      <c r="A20" t="s">
        <v>300</v>
      </c>
    </row>
    <row r="22" spans="1:9" x14ac:dyDescent="0.3">
      <c r="A22" t="s">
        <v>308</v>
      </c>
      <c r="B22" s="2">
        <f>-(1-B18/D18)</f>
        <v>-0.12001716793408201</v>
      </c>
    </row>
  </sheetData>
  <mergeCells count="1">
    <mergeCell ref="A1:I1"/>
  </mergeCells>
  <printOptions gridLines="1"/>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BACCD-0E4A-40A9-9EC2-67CC742D3BF5}">
  <dimension ref="A1:M31"/>
  <sheetViews>
    <sheetView topLeftCell="A12" workbookViewId="0">
      <selection activeCell="D31" sqref="D31"/>
    </sheetView>
  </sheetViews>
  <sheetFormatPr defaultRowHeight="14.4" x14ac:dyDescent="0.3"/>
  <cols>
    <col min="1" max="1" width="21.77734375" customWidth="1"/>
    <col min="2" max="3" width="10.109375" bestFit="1" customWidth="1"/>
    <col min="4" max="4" width="9.109375" bestFit="1" customWidth="1"/>
    <col min="5" max="5" width="10.44140625" customWidth="1"/>
    <col min="8" max="8" width="10.44140625" customWidth="1"/>
    <col min="9" max="9" width="12.44140625" customWidth="1"/>
    <col min="11" max="11" width="12.77734375" customWidth="1"/>
    <col min="12" max="12" width="10.5546875" customWidth="1"/>
    <col min="13" max="13" width="10.109375" bestFit="1" customWidth="1"/>
  </cols>
  <sheetData>
    <row r="1" spans="1:13" ht="15.6" x14ac:dyDescent="0.3">
      <c r="A1" s="174" t="s">
        <v>275</v>
      </c>
      <c r="B1" s="174"/>
      <c r="C1" s="174"/>
    </row>
    <row r="2" spans="1:13" ht="57.6" x14ac:dyDescent="0.3">
      <c r="A2">
        <v>2020</v>
      </c>
      <c r="B2" s="112" t="s">
        <v>276</v>
      </c>
      <c r="C2" s="113" t="s">
        <v>277</v>
      </c>
      <c r="D2" s="3" t="s">
        <v>278</v>
      </c>
      <c r="E2" s="3" t="s">
        <v>279</v>
      </c>
      <c r="F2" s="112" t="s">
        <v>280</v>
      </c>
      <c r="G2" s="112" t="s">
        <v>281</v>
      </c>
      <c r="H2" s="3" t="s">
        <v>282</v>
      </c>
      <c r="I2" s="3" t="s">
        <v>283</v>
      </c>
      <c r="J2" s="112" t="s">
        <v>284</v>
      </c>
      <c r="K2" s="112" t="s">
        <v>285</v>
      </c>
      <c r="L2" s="3" t="s">
        <v>286</v>
      </c>
      <c r="M2" s="3" t="s">
        <v>287</v>
      </c>
    </row>
    <row r="3" spans="1:13" x14ac:dyDescent="0.3">
      <c r="A3" t="s">
        <v>288</v>
      </c>
      <c r="B3" s="113">
        <v>141</v>
      </c>
      <c r="C3" s="114">
        <v>112.2</v>
      </c>
      <c r="D3">
        <v>1337</v>
      </c>
      <c r="E3" s="115">
        <v>805.68</v>
      </c>
      <c r="F3" s="116">
        <f t="shared" ref="F3:F14" si="0">(G3-29)/C18</f>
        <v>113.40047210656797</v>
      </c>
      <c r="G3" s="114">
        <v>95.92</v>
      </c>
      <c r="H3">
        <v>2986</v>
      </c>
      <c r="I3" s="115">
        <v>1791.1</v>
      </c>
      <c r="J3" s="113">
        <v>4215</v>
      </c>
      <c r="K3" s="114">
        <v>2564.89</v>
      </c>
      <c r="L3">
        <v>3242</v>
      </c>
      <c r="M3" s="115">
        <v>1942.18</v>
      </c>
    </row>
    <row r="4" spans="1:13" x14ac:dyDescent="0.3">
      <c r="A4" t="s">
        <v>289</v>
      </c>
      <c r="B4" s="113">
        <v>150</v>
      </c>
      <c r="C4" s="114">
        <v>114.8</v>
      </c>
      <c r="D4">
        <v>981</v>
      </c>
      <c r="E4" s="115">
        <v>594.23</v>
      </c>
      <c r="F4" s="116">
        <f t="shared" si="0"/>
        <v>98.462847459057329</v>
      </c>
      <c r="G4" s="114">
        <v>85.01</v>
      </c>
      <c r="H4">
        <v>2819</v>
      </c>
      <c r="I4" s="9">
        <v>1632.57</v>
      </c>
      <c r="J4" s="113">
        <v>4403</v>
      </c>
      <c r="K4" s="114">
        <v>2514.5</v>
      </c>
      <c r="L4">
        <v>2543</v>
      </c>
      <c r="M4">
        <v>1475.57</v>
      </c>
    </row>
    <row r="5" spans="1:13" x14ac:dyDescent="0.3">
      <c r="A5" t="s">
        <v>290</v>
      </c>
      <c r="B5" s="113">
        <v>104</v>
      </c>
      <c r="C5" s="114">
        <v>88.53</v>
      </c>
      <c r="D5">
        <v>663</v>
      </c>
      <c r="E5" s="115">
        <v>402.18</v>
      </c>
      <c r="F5" s="116">
        <f t="shared" si="0"/>
        <v>88.042148542549057</v>
      </c>
      <c r="G5" s="114">
        <v>79.45</v>
      </c>
      <c r="H5">
        <v>1954</v>
      </c>
      <c r="I5" s="115">
        <v>1148.68</v>
      </c>
      <c r="J5" s="113">
        <v>2980</v>
      </c>
      <c r="K5" s="114">
        <v>1765.02</v>
      </c>
      <c r="L5">
        <v>1699</v>
      </c>
      <c r="M5" s="115">
        <v>1002.56</v>
      </c>
    </row>
    <row r="6" spans="1:13" x14ac:dyDescent="0.3">
      <c r="A6" t="s">
        <v>291</v>
      </c>
      <c r="B6" s="113">
        <v>70</v>
      </c>
      <c r="C6" s="114">
        <v>63.95</v>
      </c>
      <c r="D6">
        <v>366</v>
      </c>
      <c r="E6" s="115">
        <v>207.98</v>
      </c>
      <c r="F6" s="116">
        <f t="shared" si="0"/>
        <v>41.653079066826983</v>
      </c>
      <c r="G6" s="114">
        <v>49.82</v>
      </c>
      <c r="H6">
        <v>1599</v>
      </c>
      <c r="I6" s="115">
        <v>828.25</v>
      </c>
      <c r="J6" s="113">
        <v>2271</v>
      </c>
      <c r="K6" s="114">
        <v>1208.08</v>
      </c>
      <c r="L6">
        <v>1101</v>
      </c>
      <c r="M6" s="115">
        <v>579.33000000000004</v>
      </c>
    </row>
    <row r="7" spans="1:13" x14ac:dyDescent="0.3">
      <c r="A7" t="s">
        <v>292</v>
      </c>
      <c r="B7" s="113">
        <v>9</v>
      </c>
      <c r="C7" s="114">
        <v>32.94</v>
      </c>
      <c r="D7">
        <v>8</v>
      </c>
      <c r="E7" s="115">
        <v>32.46</v>
      </c>
      <c r="F7" s="116">
        <f t="shared" si="0"/>
        <v>1.9671576173603935</v>
      </c>
      <c r="G7" s="114">
        <v>29.86</v>
      </c>
      <c r="H7">
        <v>1286</v>
      </c>
      <c r="I7" s="115">
        <v>591.21</v>
      </c>
      <c r="J7" s="113">
        <v>1107</v>
      </c>
      <c r="K7" s="114">
        <v>515.91999999999996</v>
      </c>
      <c r="L7">
        <v>203</v>
      </c>
      <c r="M7" s="115">
        <v>117.74</v>
      </c>
    </row>
    <row r="8" spans="1:13" x14ac:dyDescent="0.3">
      <c r="A8" t="s">
        <v>293</v>
      </c>
      <c r="B8" s="113">
        <v>0</v>
      </c>
      <c r="C8" s="114">
        <v>29</v>
      </c>
      <c r="D8">
        <v>0</v>
      </c>
      <c r="E8" s="115">
        <v>29</v>
      </c>
      <c r="F8" s="116">
        <f t="shared" si="0"/>
        <v>0</v>
      </c>
      <c r="G8" s="114">
        <v>29</v>
      </c>
      <c r="H8">
        <v>1166</v>
      </c>
      <c r="I8" s="115">
        <v>522.82000000000005</v>
      </c>
      <c r="J8" s="113">
        <v>486</v>
      </c>
      <c r="K8" s="114">
        <v>235.11</v>
      </c>
      <c r="L8">
        <v>1</v>
      </c>
      <c r="M8" s="115">
        <v>29.42</v>
      </c>
    </row>
    <row r="9" spans="1:13" x14ac:dyDescent="0.3">
      <c r="A9" t="s">
        <v>294</v>
      </c>
      <c r="B9" s="113">
        <v>1</v>
      </c>
      <c r="C9" s="114">
        <v>29.41</v>
      </c>
      <c r="D9">
        <v>0</v>
      </c>
      <c r="E9" s="115">
        <v>29</v>
      </c>
      <c r="F9" s="116">
        <f t="shared" si="0"/>
        <v>0</v>
      </c>
      <c r="G9" s="114">
        <v>29</v>
      </c>
      <c r="H9">
        <v>1143</v>
      </c>
      <c r="I9" s="115">
        <v>508.83</v>
      </c>
      <c r="J9" s="113">
        <v>339</v>
      </c>
      <c r="K9" s="114">
        <v>170.82</v>
      </c>
      <c r="L9">
        <v>0</v>
      </c>
      <c r="M9" s="115">
        <v>29</v>
      </c>
    </row>
    <row r="10" spans="1:13" x14ac:dyDescent="0.3">
      <c r="A10" t="s">
        <v>295</v>
      </c>
      <c r="B10" s="113">
        <v>0</v>
      </c>
      <c r="C10" s="114">
        <v>31.68</v>
      </c>
      <c r="D10">
        <v>3</v>
      </c>
      <c r="E10" s="115">
        <v>30.37</v>
      </c>
      <c r="F10" s="116">
        <f t="shared" si="0"/>
        <v>6.0548814454212989</v>
      </c>
      <c r="G10" s="114">
        <v>31.75</v>
      </c>
      <c r="H10">
        <v>1207</v>
      </c>
      <c r="I10" s="115">
        <v>577.19000000000005</v>
      </c>
      <c r="J10" s="113">
        <v>364</v>
      </c>
      <c r="K10" s="114">
        <v>187.07</v>
      </c>
      <c r="L10">
        <v>6</v>
      </c>
      <c r="M10" s="115">
        <v>31.72</v>
      </c>
    </row>
    <row r="11" spans="1:13" x14ac:dyDescent="0.3">
      <c r="A11" t="s">
        <v>296</v>
      </c>
      <c r="B11" s="113">
        <v>7</v>
      </c>
      <c r="C11" s="114">
        <v>32.15</v>
      </c>
      <c r="D11">
        <v>16</v>
      </c>
      <c r="E11" s="115">
        <v>35.869999999999997</v>
      </c>
      <c r="F11" s="116">
        <f t="shared" si="0"/>
        <v>23.571322151038807</v>
      </c>
      <c r="G11" s="114">
        <v>39.6</v>
      </c>
      <c r="H11">
        <v>1265</v>
      </c>
      <c r="I11" s="115">
        <v>597.87</v>
      </c>
      <c r="J11" s="113">
        <v>1038</v>
      </c>
      <c r="K11" s="114">
        <v>502.18</v>
      </c>
      <c r="L11">
        <v>209</v>
      </c>
      <c r="M11" s="115">
        <v>122.99</v>
      </c>
    </row>
    <row r="12" spans="1:13" x14ac:dyDescent="0.3">
      <c r="A12" t="s">
        <v>297</v>
      </c>
      <c r="B12" s="113">
        <v>57</v>
      </c>
      <c r="C12" s="114">
        <v>55.03</v>
      </c>
      <c r="D12">
        <v>416</v>
      </c>
      <c r="E12" s="115">
        <v>225.26</v>
      </c>
      <c r="F12" s="116">
        <f t="shared" si="0"/>
        <v>65.67836367048227</v>
      </c>
      <c r="G12" s="114">
        <v>58.75</v>
      </c>
      <c r="H12">
        <v>2106</v>
      </c>
      <c r="I12" s="115">
        <v>982.94</v>
      </c>
      <c r="J12" s="113">
        <v>2572</v>
      </c>
      <c r="K12" s="114">
        <v>1167.1099999999999</v>
      </c>
      <c r="L12">
        <v>1495</v>
      </c>
      <c r="M12" s="115">
        <v>706.18</v>
      </c>
    </row>
    <row r="13" spans="1:13" x14ac:dyDescent="0.3">
      <c r="A13" t="s">
        <v>298</v>
      </c>
      <c r="B13" s="113">
        <v>114</v>
      </c>
      <c r="C13" s="114">
        <v>99.6</v>
      </c>
      <c r="D13">
        <v>828</v>
      </c>
      <c r="E13" s="115">
        <v>542.07000000000005</v>
      </c>
      <c r="F13" s="116">
        <f t="shared" si="0"/>
        <v>109.09038063758773</v>
      </c>
      <c r="G13" s="114">
        <v>96.56</v>
      </c>
      <c r="H13">
        <v>2730</v>
      </c>
      <c r="I13" s="115">
        <v>1719.7</v>
      </c>
      <c r="J13" s="113">
        <v>3132</v>
      </c>
      <c r="K13" s="114">
        <v>1967.19</v>
      </c>
      <c r="L13">
        <v>196</v>
      </c>
      <c r="M13" s="115">
        <v>1244.7</v>
      </c>
    </row>
    <row r="14" spans="1:13" x14ac:dyDescent="0.3">
      <c r="A14" t="s">
        <v>299</v>
      </c>
      <c r="B14" s="113">
        <v>205</v>
      </c>
      <c r="C14" s="114">
        <v>154.66</v>
      </c>
      <c r="D14">
        <v>1388</v>
      </c>
      <c r="E14" s="115">
        <v>875.6</v>
      </c>
      <c r="F14" s="116">
        <f t="shared" si="0"/>
        <v>136.11456853280436</v>
      </c>
      <c r="G14" s="114">
        <v>112.44</v>
      </c>
      <c r="H14">
        <v>3460</v>
      </c>
      <c r="I14" s="115">
        <v>2150.0300000000002</v>
      </c>
      <c r="J14" s="113">
        <v>4681</v>
      </c>
      <c r="K14" s="114">
        <v>2917.32</v>
      </c>
      <c r="L14">
        <v>3032</v>
      </c>
      <c r="M14" s="115">
        <v>1887.66</v>
      </c>
    </row>
    <row r="15" spans="1:13" x14ac:dyDescent="0.3">
      <c r="A15" t="s">
        <v>4</v>
      </c>
      <c r="B15" s="113">
        <f t="shared" ref="B15:G15" si="1">SUM(B3:B14)</f>
        <v>858</v>
      </c>
      <c r="C15" s="114">
        <f t="shared" si="1"/>
        <v>843.94999999999993</v>
      </c>
      <c r="D15">
        <f t="shared" si="1"/>
        <v>6006</v>
      </c>
      <c r="E15" s="115">
        <f t="shared" si="1"/>
        <v>3809.7</v>
      </c>
      <c r="F15" s="1">
        <f t="shared" si="1"/>
        <v>684.03522122969628</v>
      </c>
      <c r="G15" s="114">
        <f t="shared" si="1"/>
        <v>737.16000000000008</v>
      </c>
      <c r="H15" s="117">
        <f t="shared" ref="H15:M15" si="2">SUM(H3:H14)</f>
        <v>23721</v>
      </c>
      <c r="I15" s="115">
        <f t="shared" si="2"/>
        <v>13051.190000000002</v>
      </c>
      <c r="J15" s="118">
        <f t="shared" si="2"/>
        <v>27588</v>
      </c>
      <c r="K15" s="114">
        <f t="shared" si="2"/>
        <v>15715.210000000001</v>
      </c>
      <c r="L15" s="117">
        <f t="shared" si="2"/>
        <v>13727</v>
      </c>
      <c r="M15" s="119">
        <f t="shared" si="2"/>
        <v>9169.0499999999993</v>
      </c>
    </row>
    <row r="16" spans="1:13" x14ac:dyDescent="0.3">
      <c r="E16" s="115"/>
      <c r="K16" s="115"/>
    </row>
    <row r="17" spans="1:8" ht="43.2" x14ac:dyDescent="0.3">
      <c r="A17" t="s">
        <v>305</v>
      </c>
      <c r="B17" s="160">
        <v>2019</v>
      </c>
      <c r="C17" s="160">
        <v>2020</v>
      </c>
      <c r="D17" s="3" t="s">
        <v>307</v>
      </c>
      <c r="E17" s="3" t="s">
        <v>304</v>
      </c>
      <c r="F17" s="159" t="s">
        <v>303</v>
      </c>
      <c r="G17" s="3" t="s">
        <v>306</v>
      </c>
      <c r="H17" s="3"/>
    </row>
    <row r="18" spans="1:8" x14ac:dyDescent="0.3">
      <c r="A18" t="s">
        <v>288</v>
      </c>
      <c r="B18" s="120">
        <v>0.67561099999999996</v>
      </c>
      <c r="C18" s="120">
        <v>0.59012100000000001</v>
      </c>
      <c r="D18" s="2">
        <f>-(1-C18/B18)</f>
        <v>-0.12653731215151909</v>
      </c>
      <c r="E18">
        <v>1773</v>
      </c>
      <c r="F18">
        <v>1383</v>
      </c>
      <c r="G18" s="2">
        <f>-(1-F18/E18)</f>
        <v>-0.21996615905245342</v>
      </c>
    </row>
    <row r="19" spans="1:8" x14ac:dyDescent="0.3">
      <c r="A19" t="s">
        <v>289</v>
      </c>
      <c r="B19" s="120">
        <v>0.60801499999999997</v>
      </c>
      <c r="C19" s="120">
        <v>0.56884400000000002</v>
      </c>
      <c r="D19" s="2">
        <f t="shared" ref="D19:D31" si="3">-(1-C19/B19)</f>
        <v>-6.4424397424405533E-2</v>
      </c>
      <c r="E19">
        <v>1615</v>
      </c>
      <c r="F19">
        <v>1340</v>
      </c>
      <c r="G19" s="2">
        <f t="shared" ref="G19:G22" si="4">-(1-F19/E19)</f>
        <v>-0.1702786377708978</v>
      </c>
    </row>
    <row r="20" spans="1:8" x14ac:dyDescent="0.3">
      <c r="A20" t="s">
        <v>290</v>
      </c>
      <c r="B20" s="120">
        <v>0.59202100000000002</v>
      </c>
      <c r="C20" s="120">
        <v>0.573021</v>
      </c>
      <c r="D20" s="2">
        <f t="shared" si="3"/>
        <v>-3.2093456144292154E-2</v>
      </c>
      <c r="E20">
        <v>988</v>
      </c>
      <c r="F20">
        <v>1058</v>
      </c>
      <c r="G20" s="2">
        <f t="shared" si="4"/>
        <v>7.0850202429149745E-2</v>
      </c>
    </row>
    <row r="21" spans="1:8" x14ac:dyDescent="0.3">
      <c r="A21" t="s">
        <v>291</v>
      </c>
      <c r="B21" s="120">
        <v>0.56552400000000003</v>
      </c>
      <c r="C21" s="120">
        <v>0.49984299999999998</v>
      </c>
      <c r="D21" s="2">
        <f t="shared" si="3"/>
        <v>-0.11614184367064884</v>
      </c>
      <c r="E21">
        <v>778</v>
      </c>
      <c r="F21">
        <v>846</v>
      </c>
      <c r="G21" s="2">
        <f t="shared" si="4"/>
        <v>8.740359897172234E-2</v>
      </c>
    </row>
    <row r="22" spans="1:8" x14ac:dyDescent="0.3">
      <c r="A22" t="s">
        <v>292</v>
      </c>
      <c r="B22" s="120">
        <v>0.48159600000000002</v>
      </c>
      <c r="C22" s="120">
        <v>0.43717899999999998</v>
      </c>
      <c r="D22" s="2">
        <f t="shared" si="3"/>
        <v>-9.2228756052791239E-2</v>
      </c>
      <c r="E22">
        <v>383</v>
      </c>
      <c r="F22">
        <v>260</v>
      </c>
      <c r="G22" s="2">
        <f t="shared" si="4"/>
        <v>-0.3211488250652742</v>
      </c>
    </row>
    <row r="23" spans="1:8" x14ac:dyDescent="0.3">
      <c r="A23" t="s">
        <v>293</v>
      </c>
      <c r="B23" s="120"/>
      <c r="C23" s="120">
        <v>0.423516</v>
      </c>
      <c r="D23" s="2"/>
      <c r="G23" s="2"/>
    </row>
    <row r="24" spans="1:8" x14ac:dyDescent="0.3">
      <c r="A24" t="s">
        <v>294</v>
      </c>
      <c r="B24" s="120"/>
      <c r="C24" s="120">
        <v>0.41979499999999997</v>
      </c>
      <c r="D24" s="2"/>
      <c r="G24" s="2"/>
    </row>
    <row r="25" spans="1:8" x14ac:dyDescent="0.3">
      <c r="A25" t="s">
        <v>295</v>
      </c>
      <c r="B25" s="120"/>
      <c r="C25" s="120">
        <v>0.454179</v>
      </c>
      <c r="D25" s="2"/>
      <c r="G25" s="2"/>
    </row>
    <row r="26" spans="1:8" x14ac:dyDescent="0.3">
      <c r="A26" t="s">
        <v>296</v>
      </c>
      <c r="B26" s="120">
        <v>0.48159600000000002</v>
      </c>
      <c r="C26" s="120">
        <v>0.44969900000000002</v>
      </c>
      <c r="D26" s="2">
        <f t="shared" si="3"/>
        <v>-6.6231862390883633E-2</v>
      </c>
      <c r="E26">
        <v>261</v>
      </c>
      <c r="F26">
        <v>414</v>
      </c>
      <c r="G26" s="2">
        <f t="shared" ref="G26" si="5">-(1-F26/E26)</f>
        <v>0.5862068965517242</v>
      </c>
    </row>
    <row r="27" spans="1:8" x14ac:dyDescent="0.3">
      <c r="A27" t="s">
        <v>297</v>
      </c>
      <c r="B27" s="120">
        <v>0.53441799999999995</v>
      </c>
      <c r="C27" s="120">
        <v>0.45296500000000001</v>
      </c>
      <c r="D27" s="2">
        <f t="shared" si="3"/>
        <v>-0.15241440220950631</v>
      </c>
      <c r="E27">
        <v>946</v>
      </c>
      <c r="F27">
        <v>801</v>
      </c>
      <c r="G27" s="2">
        <f t="shared" ref="G27:G30" si="6">-(1-F27/E27)</f>
        <v>-0.15327695560253696</v>
      </c>
    </row>
    <row r="28" spans="1:8" x14ac:dyDescent="0.3">
      <c r="A28" t="s">
        <v>298</v>
      </c>
      <c r="B28" s="120">
        <v>0.62539800000000001</v>
      </c>
      <c r="C28" s="120">
        <v>0.61930300000000005</v>
      </c>
      <c r="D28" s="2">
        <f t="shared" si="3"/>
        <v>-9.7457938784580866E-3</v>
      </c>
      <c r="E28">
        <v>1364</v>
      </c>
      <c r="F28">
        <v>1113</v>
      </c>
      <c r="G28" s="2">
        <f t="shared" si="6"/>
        <v>-0.18401759530791784</v>
      </c>
    </row>
    <row r="29" spans="1:8" x14ac:dyDescent="0.3">
      <c r="A29" t="s">
        <v>299</v>
      </c>
      <c r="B29" s="120">
        <v>0.83319799999999999</v>
      </c>
      <c r="C29" s="120">
        <v>0.61301300000000003</v>
      </c>
      <c r="D29" s="2">
        <f t="shared" si="3"/>
        <v>-0.26426491662245943</v>
      </c>
      <c r="E29">
        <v>1601</v>
      </c>
      <c r="F29">
        <v>1531</v>
      </c>
      <c r="G29" s="2">
        <f t="shared" si="6"/>
        <v>-4.3722673329169237E-2</v>
      </c>
    </row>
    <row r="30" spans="1:8" x14ac:dyDescent="0.3">
      <c r="A30" t="s">
        <v>4</v>
      </c>
      <c r="C30" s="120"/>
      <c r="D30" s="2"/>
      <c r="E30">
        <f>SUM(E18:E29)</f>
        <v>9709</v>
      </c>
      <c r="F30">
        <f>SUM(F18:F29)</f>
        <v>8746</v>
      </c>
      <c r="G30" s="161">
        <f t="shared" si="6"/>
        <v>-9.9186321969306879E-2</v>
      </c>
    </row>
    <row r="31" spans="1:8" x14ac:dyDescent="0.3">
      <c r="A31" t="s">
        <v>184</v>
      </c>
      <c r="B31" s="120">
        <f>AVERAGE(B18:B29)</f>
        <v>0.59970855555555558</v>
      </c>
      <c r="C31" s="120">
        <f>AVERAGE(C18:C29)</f>
        <v>0.50845649999999998</v>
      </c>
      <c r="D31" s="161">
        <f t="shared" si="3"/>
        <v>-0.15216066989576615</v>
      </c>
      <c r="G31" s="2"/>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30B18-21B2-4E2C-92E9-3EA21902A685}">
  <dimension ref="A1:F5"/>
  <sheetViews>
    <sheetView workbookViewId="0">
      <selection sqref="A1:F1"/>
    </sheetView>
  </sheetViews>
  <sheetFormatPr defaultRowHeight="14.4" x14ac:dyDescent="0.3"/>
  <cols>
    <col min="1" max="1" width="17.77734375" customWidth="1"/>
  </cols>
  <sheetData>
    <row r="1" spans="1:6" ht="15.6" x14ac:dyDescent="0.3">
      <c r="A1" s="174" t="s">
        <v>177</v>
      </c>
      <c r="B1" s="174"/>
      <c r="C1" s="174"/>
      <c r="D1" s="174"/>
      <c r="E1" s="174"/>
      <c r="F1" s="174"/>
    </row>
    <row r="2" spans="1:6" x14ac:dyDescent="0.3">
      <c r="B2">
        <v>2020</v>
      </c>
      <c r="C2">
        <v>2019</v>
      </c>
      <c r="D2">
        <v>2018</v>
      </c>
      <c r="E2">
        <v>2017</v>
      </c>
      <c r="F2">
        <v>2016</v>
      </c>
    </row>
    <row r="3" spans="1:6" x14ac:dyDescent="0.3">
      <c r="A3" t="s">
        <v>135</v>
      </c>
      <c r="B3" s="8">
        <v>14649</v>
      </c>
      <c r="C3" s="25">
        <v>19151</v>
      </c>
      <c r="D3" s="25">
        <v>16264</v>
      </c>
      <c r="E3" s="25">
        <v>11948</v>
      </c>
      <c r="F3" s="25">
        <v>9676</v>
      </c>
    </row>
    <row r="4" spans="1:6" x14ac:dyDescent="0.3">
      <c r="A4" t="s">
        <v>136</v>
      </c>
      <c r="B4" s="28">
        <f>B3/B5</f>
        <v>0.95358677255565683</v>
      </c>
      <c r="C4" s="28">
        <v>1.149</v>
      </c>
      <c r="D4" s="28">
        <v>0.92</v>
      </c>
      <c r="E4" s="28">
        <v>0.78500000000000003</v>
      </c>
      <c r="F4" s="28">
        <v>0.92</v>
      </c>
    </row>
    <row r="5" spans="1:6" x14ac:dyDescent="0.3">
      <c r="A5" t="s">
        <v>137</v>
      </c>
      <c r="B5" s="10">
        <v>15362</v>
      </c>
      <c r="C5" s="10">
        <f t="shared" ref="C5" si="0">C3/C4</f>
        <v>16667.536988685813</v>
      </c>
      <c r="D5" s="10">
        <f>D3/D4</f>
        <v>17678.260869565216</v>
      </c>
      <c r="E5" s="10">
        <f>E3/E4</f>
        <v>15220.382165605095</v>
      </c>
      <c r="F5" s="10">
        <f>F3/F4</f>
        <v>10517.391304347826</v>
      </c>
    </row>
  </sheetData>
  <mergeCells count="1">
    <mergeCell ref="A1:F1"/>
  </mergeCells>
  <printOptions gridLines="1"/>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EFEF3-C155-4773-B528-CCB550AA6A1E}">
  <sheetPr>
    <pageSetUpPr fitToPage="1"/>
  </sheetPr>
  <dimension ref="A1:M19"/>
  <sheetViews>
    <sheetView workbookViewId="0">
      <selection sqref="A1:M1"/>
    </sheetView>
  </sheetViews>
  <sheetFormatPr defaultRowHeight="14.4" x14ac:dyDescent="0.3"/>
  <cols>
    <col min="1" max="1" width="23.21875" customWidth="1"/>
    <col min="2" max="3" width="8.88671875" customWidth="1"/>
    <col min="9" max="9" width="10.5546875" bestFit="1" customWidth="1"/>
    <col min="10" max="10" width="10.5546875" customWidth="1"/>
    <col min="11" max="12" width="10.5546875" bestFit="1" customWidth="1"/>
    <col min="13" max="13" width="11.109375" customWidth="1"/>
  </cols>
  <sheetData>
    <row r="1" spans="1:13" ht="18" x14ac:dyDescent="0.35">
      <c r="A1" s="172" t="s">
        <v>113</v>
      </c>
      <c r="B1" s="172"/>
      <c r="C1" s="172"/>
      <c r="D1" s="172"/>
      <c r="E1" s="172"/>
      <c r="F1" s="172"/>
      <c r="G1" s="172"/>
      <c r="H1" s="172"/>
      <c r="I1" s="172"/>
      <c r="J1" s="172"/>
      <c r="K1" s="172"/>
      <c r="L1" s="172"/>
      <c r="M1" s="172"/>
    </row>
    <row r="2" spans="1:13" ht="43.2" x14ac:dyDescent="0.3">
      <c r="A2" s="4" t="s">
        <v>74</v>
      </c>
      <c r="B2" s="135" t="s">
        <v>151</v>
      </c>
      <c r="C2" s="135" t="s">
        <v>152</v>
      </c>
      <c r="D2" s="3" t="s">
        <v>77</v>
      </c>
      <c r="E2" t="s">
        <v>80</v>
      </c>
      <c r="F2" s="112" t="s">
        <v>76</v>
      </c>
      <c r="G2" s="113" t="s">
        <v>79</v>
      </c>
      <c r="H2" s="3" t="s">
        <v>75</v>
      </c>
      <c r="I2" t="s">
        <v>78</v>
      </c>
      <c r="J2" s="3" t="s">
        <v>153</v>
      </c>
      <c r="K2" s="3" t="s">
        <v>97</v>
      </c>
      <c r="L2" s="3" t="s">
        <v>96</v>
      </c>
      <c r="M2" s="3" t="s">
        <v>95</v>
      </c>
    </row>
    <row r="3" spans="1:13" x14ac:dyDescent="0.3">
      <c r="A3" t="s">
        <v>82</v>
      </c>
      <c r="B3" s="121">
        <v>67014</v>
      </c>
      <c r="C3" s="122">
        <v>135711</v>
      </c>
      <c r="D3" s="10">
        <v>69218</v>
      </c>
      <c r="E3" s="5">
        <v>172275</v>
      </c>
      <c r="F3" s="121">
        <v>65287</v>
      </c>
      <c r="G3" s="122">
        <v>166321</v>
      </c>
      <c r="H3" s="10">
        <v>77534</v>
      </c>
      <c r="I3" s="5">
        <v>167411</v>
      </c>
      <c r="J3" s="111">
        <f>C3/B3</f>
        <v>2.0251141552511416</v>
      </c>
      <c r="K3" s="9">
        <f>E3/D3</f>
        <v>2.4888757259672341</v>
      </c>
      <c r="L3" s="9">
        <f>G3/F3</f>
        <v>2.5475362629619984</v>
      </c>
      <c r="M3" s="9">
        <f>I3/H3</f>
        <v>2.1591946758841281</v>
      </c>
    </row>
    <row r="4" spans="1:13" x14ac:dyDescent="0.3">
      <c r="A4" t="s">
        <v>81</v>
      </c>
      <c r="B4" s="121">
        <v>12582</v>
      </c>
      <c r="C4" s="122">
        <v>18246</v>
      </c>
      <c r="D4" s="10">
        <v>10349</v>
      </c>
      <c r="E4" s="5">
        <v>21727</v>
      </c>
      <c r="F4" s="121">
        <v>10296</v>
      </c>
      <c r="G4" s="122">
        <v>25821</v>
      </c>
      <c r="H4" s="10">
        <v>13922</v>
      </c>
      <c r="I4" s="5">
        <v>31156</v>
      </c>
      <c r="J4" s="111">
        <f>C4/B4</f>
        <v>1.4501669051025274</v>
      </c>
      <c r="K4" s="9">
        <f>E4/D4</f>
        <v>2.0994298966083678</v>
      </c>
      <c r="L4" s="9">
        <f>G4/F4</f>
        <v>2.5078671328671329</v>
      </c>
      <c r="M4" s="9">
        <f>I4/H4</f>
        <v>2.2378968539003017</v>
      </c>
    </row>
    <row r="5" spans="1:13" x14ac:dyDescent="0.3">
      <c r="B5" s="113"/>
      <c r="C5" s="113"/>
      <c r="F5" s="113"/>
      <c r="G5" s="113"/>
    </row>
    <row r="6" spans="1:13" x14ac:dyDescent="0.3">
      <c r="A6" s="4" t="s">
        <v>83</v>
      </c>
      <c r="B6" s="136"/>
      <c r="C6" s="136"/>
      <c r="F6" s="113"/>
      <c r="G6" s="113"/>
    </row>
    <row r="7" spans="1:13" x14ac:dyDescent="0.3">
      <c r="A7" t="s">
        <v>81</v>
      </c>
      <c r="B7" s="113">
        <v>21106</v>
      </c>
      <c r="C7" s="122">
        <f>B7*J4</f>
        <v>30607.222699093945</v>
      </c>
      <c r="D7" s="10">
        <v>24130</v>
      </c>
      <c r="E7" s="5">
        <f>D7*K4</f>
        <v>50659.243405159912</v>
      </c>
      <c r="F7" s="121">
        <v>22636</v>
      </c>
      <c r="G7" s="122">
        <f>F7*L4</f>
        <v>56768.080419580423</v>
      </c>
      <c r="H7" s="10">
        <v>22420</v>
      </c>
      <c r="I7" s="5">
        <f>H7*M4</f>
        <v>50173.647464444766</v>
      </c>
      <c r="J7" s="5"/>
    </row>
    <row r="8" spans="1:13" x14ac:dyDescent="0.3">
      <c r="B8" s="113"/>
      <c r="C8" s="113"/>
      <c r="F8" s="113"/>
      <c r="G8" s="113"/>
    </row>
    <row r="9" spans="1:13" x14ac:dyDescent="0.3">
      <c r="A9" t="s">
        <v>94</v>
      </c>
      <c r="B9" s="113">
        <v>4771</v>
      </c>
      <c r="C9" s="113"/>
      <c r="D9">
        <v>3811</v>
      </c>
      <c r="E9" s="22"/>
      <c r="F9" s="113">
        <v>2879</v>
      </c>
      <c r="G9" s="139"/>
      <c r="H9">
        <v>3002</v>
      </c>
      <c r="I9" s="21"/>
      <c r="J9" s="21"/>
    </row>
    <row r="10" spans="1:13" x14ac:dyDescent="0.3">
      <c r="A10" t="s">
        <v>108</v>
      </c>
      <c r="B10" s="116">
        <f>B9*B19</f>
        <v>5959.0553660456571</v>
      </c>
      <c r="C10" s="122">
        <f>B10*0.5952</f>
        <v>3546.829753870375</v>
      </c>
      <c r="D10">
        <v>4760</v>
      </c>
      <c r="E10" s="5">
        <f>D10*0.5952</f>
        <v>2833.1519999999996</v>
      </c>
      <c r="F10" s="113">
        <v>3596</v>
      </c>
      <c r="G10" s="122">
        <f>F10*0.666</f>
        <v>2394.9360000000001</v>
      </c>
      <c r="H10" s="17">
        <v>3750</v>
      </c>
      <c r="I10" s="5">
        <f>H10*0.628</f>
        <v>2355</v>
      </c>
      <c r="J10" s="5"/>
    </row>
    <row r="11" spans="1:13" x14ac:dyDescent="0.3">
      <c r="B11" s="113"/>
      <c r="C11" s="113"/>
      <c r="F11" s="113"/>
      <c r="G11" s="113"/>
      <c r="H11" s="17"/>
    </row>
    <row r="12" spans="1:13" x14ac:dyDescent="0.3">
      <c r="A12" t="s">
        <v>99</v>
      </c>
      <c r="B12" s="137">
        <f t="shared" ref="B12:I12" si="0">B3</f>
        <v>67014</v>
      </c>
      <c r="C12" s="138">
        <f>C3</f>
        <v>135711</v>
      </c>
      <c r="D12" s="18">
        <f t="shared" si="0"/>
        <v>69218</v>
      </c>
      <c r="E12" s="19">
        <f>E3</f>
        <v>172275</v>
      </c>
      <c r="F12" s="137">
        <f>F3</f>
        <v>65287</v>
      </c>
      <c r="G12" s="138">
        <f>G3</f>
        <v>166321</v>
      </c>
      <c r="H12" s="18">
        <f>H3</f>
        <v>77534</v>
      </c>
      <c r="I12" s="19">
        <f t="shared" si="0"/>
        <v>167411</v>
      </c>
      <c r="J12" s="19"/>
    </row>
    <row r="13" spans="1:13" x14ac:dyDescent="0.3">
      <c r="A13" t="s">
        <v>98</v>
      </c>
      <c r="B13" s="137">
        <f t="shared" ref="B13" si="1">SUM(B4:B9)</f>
        <v>38459</v>
      </c>
      <c r="C13" s="138">
        <f>SUM(C4:C9)</f>
        <v>48853.222699093945</v>
      </c>
      <c r="D13" s="18">
        <f t="shared" ref="D13:I13" si="2">D4+D7</f>
        <v>34479</v>
      </c>
      <c r="E13" s="19">
        <f t="shared" si="2"/>
        <v>72386.243405159912</v>
      </c>
      <c r="F13" s="137">
        <f t="shared" si="2"/>
        <v>32932</v>
      </c>
      <c r="G13" s="138">
        <f t="shared" si="2"/>
        <v>82589.080419580423</v>
      </c>
      <c r="H13" s="18">
        <f t="shared" si="2"/>
        <v>36342</v>
      </c>
      <c r="I13" s="19">
        <f t="shared" si="2"/>
        <v>81329.647464444774</v>
      </c>
      <c r="J13" s="19"/>
      <c r="M13" s="19"/>
    </row>
    <row r="14" spans="1:13" x14ac:dyDescent="0.3">
      <c r="A14" t="s">
        <v>94</v>
      </c>
      <c r="B14" s="137">
        <f>B9</f>
        <v>4771</v>
      </c>
      <c r="C14" s="138">
        <f>C10</f>
        <v>3546.829753870375</v>
      </c>
      <c r="D14" s="18">
        <f>D9</f>
        <v>3811</v>
      </c>
      <c r="E14" s="19">
        <f>E10</f>
        <v>2833.1519999999996</v>
      </c>
      <c r="F14" s="137">
        <f>F9</f>
        <v>2879</v>
      </c>
      <c r="G14" s="138">
        <f>G10</f>
        <v>2394.9360000000001</v>
      </c>
      <c r="H14" s="18">
        <f>H9</f>
        <v>3002</v>
      </c>
      <c r="I14" s="19">
        <f>I10</f>
        <v>2355</v>
      </c>
      <c r="J14" s="19"/>
      <c r="M14" s="19"/>
    </row>
    <row r="15" spans="1:13" x14ac:dyDescent="0.3">
      <c r="A15" t="s">
        <v>4</v>
      </c>
      <c r="B15" s="137">
        <f t="shared" ref="B15:I15" si="3">SUM(B12:B14)</f>
        <v>110244</v>
      </c>
      <c r="C15" s="137">
        <f>SUM(C12:C14)</f>
        <v>188111.05245296433</v>
      </c>
      <c r="D15" s="18">
        <f t="shared" si="3"/>
        <v>107508</v>
      </c>
      <c r="E15" s="19">
        <f>SUM(E12:E14)</f>
        <v>247494.39540515991</v>
      </c>
      <c r="F15" s="137">
        <f>SUM(F12:F14)</f>
        <v>101098</v>
      </c>
      <c r="G15" s="138">
        <f>SUM(G12:G14)</f>
        <v>251305.01641958041</v>
      </c>
      <c r="H15" s="18">
        <f>SUM(H12:H14)</f>
        <v>116878</v>
      </c>
      <c r="I15" s="19">
        <f t="shared" si="3"/>
        <v>251095.64746444477</v>
      </c>
      <c r="J15" s="18"/>
    </row>
    <row r="17" spans="1:2" x14ac:dyDescent="0.3">
      <c r="B17" t="s">
        <v>270</v>
      </c>
    </row>
    <row r="18" spans="1:2" x14ac:dyDescent="0.3">
      <c r="A18" t="s">
        <v>268</v>
      </c>
      <c r="B18">
        <f>D9/D10</f>
        <v>0.80063025210084038</v>
      </c>
    </row>
    <row r="19" spans="1:2" x14ac:dyDescent="0.3">
      <c r="A19" t="s">
        <v>269</v>
      </c>
      <c r="B19">
        <f>D10/D9</f>
        <v>1.2490160062975597</v>
      </c>
    </row>
  </sheetData>
  <mergeCells count="1">
    <mergeCell ref="A1:M1"/>
  </mergeCells>
  <printOptions gridLines="1"/>
  <pageMargins left="0.7" right="0.7" top="0.75" bottom="0.75" header="0.3" footer="0.3"/>
  <pageSetup scale="8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F7DE5-E4E2-44A0-B4DE-3FA4D24E9171}">
  <sheetPr>
    <pageSetUpPr fitToPage="1"/>
  </sheetPr>
  <dimension ref="A1:X34"/>
  <sheetViews>
    <sheetView zoomScale="95" zoomScaleNormal="70" workbookViewId="0">
      <selection activeCell="D4" sqref="D4"/>
    </sheetView>
  </sheetViews>
  <sheetFormatPr defaultRowHeight="14.4" x14ac:dyDescent="0.3"/>
  <cols>
    <col min="1" max="1" width="23.6640625" customWidth="1"/>
    <col min="2" max="2" width="6.77734375" customWidth="1"/>
    <col min="3" max="3" width="9.5546875" customWidth="1"/>
    <col min="4" max="4" width="10.88671875" customWidth="1"/>
    <col min="5" max="5" width="8.88671875" customWidth="1"/>
    <col min="6" max="6" width="9.21875" customWidth="1"/>
    <col min="7" max="7" width="10.44140625" customWidth="1"/>
    <col min="8" max="8" width="10" customWidth="1"/>
    <col min="9" max="9" width="10.5546875" customWidth="1"/>
    <col min="10" max="10" width="8.77734375" customWidth="1"/>
    <col min="11" max="11" width="9.109375" customWidth="1"/>
    <col min="12" max="12" width="9.44140625" customWidth="1"/>
    <col min="13" max="13" width="8.88671875" customWidth="1"/>
    <col min="14" max="14" width="11.77734375" customWidth="1"/>
    <col min="15" max="15" width="23.109375" customWidth="1"/>
    <col min="16" max="16" width="7.5546875" customWidth="1"/>
    <col min="17" max="17" width="10.6640625" bestFit="1" customWidth="1"/>
    <col min="19" max="19" width="10.88671875" customWidth="1"/>
    <col min="21" max="21" width="11.77734375" customWidth="1"/>
    <col min="23" max="23" width="10.5546875" customWidth="1"/>
  </cols>
  <sheetData>
    <row r="1" spans="1:24" ht="18" x14ac:dyDescent="0.35">
      <c r="A1" s="168" t="s">
        <v>157</v>
      </c>
      <c r="B1" s="169"/>
      <c r="C1" s="169"/>
      <c r="D1" s="169"/>
      <c r="E1" s="169"/>
      <c r="F1" s="169"/>
      <c r="G1" s="169"/>
      <c r="H1" s="169"/>
      <c r="I1" s="169"/>
      <c r="J1" s="169"/>
      <c r="K1" s="169"/>
      <c r="L1" s="169"/>
      <c r="M1" s="170"/>
    </row>
    <row r="2" spans="1:24" ht="14.4" customHeight="1" x14ac:dyDescent="0.3">
      <c r="A2" s="175" t="s">
        <v>206</v>
      </c>
      <c r="B2" s="176"/>
      <c r="C2" s="176"/>
      <c r="D2" s="176"/>
      <c r="E2" s="176"/>
      <c r="F2" s="176"/>
      <c r="G2" s="176"/>
      <c r="H2" s="176"/>
      <c r="I2" s="176"/>
      <c r="J2" s="176"/>
      <c r="K2" s="176"/>
      <c r="L2" s="176"/>
      <c r="M2" s="177"/>
      <c r="N2" s="51"/>
      <c r="O2" s="175" t="s">
        <v>220</v>
      </c>
      <c r="P2" s="176"/>
      <c r="Q2" s="176"/>
      <c r="R2" s="176"/>
      <c r="S2" s="176"/>
      <c r="T2" s="176"/>
      <c r="U2" s="176"/>
      <c r="V2" s="176"/>
      <c r="W2" s="177"/>
      <c r="X2" s="75"/>
    </row>
    <row r="3" spans="1:24" ht="73.8" customHeight="1" x14ac:dyDescent="0.3">
      <c r="A3" s="103" t="s">
        <v>221</v>
      </c>
      <c r="B3" s="61" t="s">
        <v>7</v>
      </c>
      <c r="C3" s="71" t="s">
        <v>205</v>
      </c>
      <c r="D3" s="71" t="s">
        <v>209</v>
      </c>
      <c r="E3" s="71" t="s">
        <v>147</v>
      </c>
      <c r="F3" s="71" t="s">
        <v>31</v>
      </c>
      <c r="G3" s="71" t="s">
        <v>232</v>
      </c>
      <c r="H3" s="71" t="s">
        <v>309</v>
      </c>
      <c r="I3" s="71" t="s">
        <v>219</v>
      </c>
      <c r="J3" s="71" t="s">
        <v>146</v>
      </c>
      <c r="K3" s="71" t="s">
        <v>231</v>
      </c>
      <c r="L3" s="71" t="s">
        <v>312</v>
      </c>
      <c r="M3" s="77" t="s">
        <v>313</v>
      </c>
      <c r="N3" s="36"/>
      <c r="O3" s="76" t="s">
        <v>28</v>
      </c>
      <c r="P3" s="61" t="s">
        <v>29</v>
      </c>
      <c r="Q3" s="61" t="s">
        <v>7</v>
      </c>
      <c r="R3" s="71" t="s">
        <v>30</v>
      </c>
      <c r="S3" s="71" t="s">
        <v>31</v>
      </c>
      <c r="T3" s="71" t="s">
        <v>32</v>
      </c>
      <c r="U3" s="71" t="s">
        <v>33</v>
      </c>
      <c r="V3" s="71" t="s">
        <v>145</v>
      </c>
      <c r="W3" s="77" t="s">
        <v>161</v>
      </c>
      <c r="X3" s="36"/>
    </row>
    <row r="4" spans="1:24" ht="15.6" customHeight="1" x14ac:dyDescent="0.3">
      <c r="A4" s="35" t="s">
        <v>19</v>
      </c>
      <c r="B4" s="36">
        <v>8.4</v>
      </c>
      <c r="C4" s="43">
        <f>'Electrcity Entry Form'!C7</f>
        <v>3107</v>
      </c>
      <c r="D4" s="52">
        <v>9879</v>
      </c>
      <c r="E4" s="39">
        <f t="shared" ref="E4:E5" si="0">C4+D4</f>
        <v>12986</v>
      </c>
      <c r="F4" s="37">
        <v>0.12</v>
      </c>
      <c r="G4" s="38">
        <f>D4*F4</f>
        <v>1185.48</v>
      </c>
      <c r="H4" s="67">
        <f>D4/B4</f>
        <v>1176.0714285714284</v>
      </c>
      <c r="I4" s="52">
        <v>0</v>
      </c>
      <c r="J4" s="39">
        <f>I4+V4</f>
        <v>11002</v>
      </c>
      <c r="K4" s="39">
        <f>I4*S4</f>
        <v>0</v>
      </c>
      <c r="L4" s="36"/>
      <c r="M4" s="47"/>
      <c r="N4" s="36"/>
      <c r="O4" s="35" t="s">
        <v>19</v>
      </c>
      <c r="P4" s="36" t="s">
        <v>35</v>
      </c>
      <c r="Q4" s="36">
        <v>8.4</v>
      </c>
      <c r="R4" s="36">
        <v>1200</v>
      </c>
      <c r="S4" s="37">
        <v>0.12</v>
      </c>
      <c r="T4" s="38">
        <f>Q4*R4*S4</f>
        <v>1209.5999999999999</v>
      </c>
      <c r="U4" s="39">
        <f>Q4*R4</f>
        <v>10080</v>
      </c>
      <c r="V4" s="40">
        <f>'Electrcity Entry Form'!E7</f>
        <v>11002</v>
      </c>
      <c r="W4" s="41"/>
      <c r="X4" s="36"/>
    </row>
    <row r="5" spans="1:24" x14ac:dyDescent="0.3">
      <c r="A5" s="42" t="s">
        <v>18</v>
      </c>
      <c r="B5" s="36">
        <v>44.3</v>
      </c>
      <c r="C5" s="43">
        <f>'Electrcity Entry Form'!C8</f>
        <v>17320</v>
      </c>
      <c r="D5" s="67">
        <v>46547</v>
      </c>
      <c r="E5" s="39">
        <f t="shared" si="0"/>
        <v>63867</v>
      </c>
      <c r="F5" s="37">
        <v>0.08</v>
      </c>
      <c r="G5" s="38">
        <f t="shared" ref="G5:G8" si="1">D5*F5</f>
        <v>3723.76</v>
      </c>
      <c r="H5" s="67">
        <f t="shared" ref="H5:H11" si="2">D5/B5</f>
        <v>1050.722347629797</v>
      </c>
      <c r="I5" s="52">
        <v>0</v>
      </c>
      <c r="J5" s="39">
        <f>I5+V5</f>
        <v>56880</v>
      </c>
      <c r="K5" s="39"/>
      <c r="L5" s="36"/>
      <c r="M5" s="47"/>
      <c r="N5" s="36"/>
      <c r="O5" s="42" t="s">
        <v>18</v>
      </c>
      <c r="P5" s="36" t="s">
        <v>35</v>
      </c>
      <c r="Q5" s="36">
        <v>44.3</v>
      </c>
      <c r="R5" s="36">
        <v>1200</v>
      </c>
      <c r="S5" s="37">
        <v>0.08</v>
      </c>
      <c r="T5" s="38">
        <f>Q5*R5*S5</f>
        <v>4252.8</v>
      </c>
      <c r="U5" s="39">
        <f>Q5*R5</f>
        <v>53160</v>
      </c>
      <c r="V5" s="40">
        <f>'Electrcity Entry Form'!E8</f>
        <v>56880</v>
      </c>
      <c r="W5" s="41"/>
      <c r="X5" s="36"/>
    </row>
    <row r="6" spans="1:24" x14ac:dyDescent="0.3">
      <c r="A6" s="42" t="s">
        <v>26</v>
      </c>
      <c r="B6" s="36">
        <v>4.9000000000000004</v>
      </c>
      <c r="C6" s="43">
        <f>'Electrcity Entry Form'!C11</f>
        <v>943</v>
      </c>
      <c r="D6" s="52">
        <v>5600</v>
      </c>
      <c r="E6" s="39">
        <f>C6+D6</f>
        <v>6543</v>
      </c>
      <c r="F6" s="37">
        <v>0.12</v>
      </c>
      <c r="G6" s="38">
        <f t="shared" si="1"/>
        <v>672</v>
      </c>
      <c r="H6" s="67">
        <f t="shared" si="2"/>
        <v>1142.8571428571427</v>
      </c>
      <c r="I6" s="52">
        <v>5880</v>
      </c>
      <c r="J6" s="39">
        <f>I6+V6</f>
        <v>7950</v>
      </c>
      <c r="K6" s="53">
        <f>I6*S6</f>
        <v>705.6</v>
      </c>
      <c r="L6" s="36"/>
      <c r="M6" s="47"/>
      <c r="N6" s="36"/>
      <c r="O6" s="42" t="s">
        <v>26</v>
      </c>
      <c r="P6" s="36" t="s">
        <v>35</v>
      </c>
      <c r="Q6" s="36">
        <v>4.9000000000000004</v>
      </c>
      <c r="R6" s="36">
        <v>1200</v>
      </c>
      <c r="S6" s="37">
        <v>0.12</v>
      </c>
      <c r="T6" s="38">
        <f>Q6*R6*S6</f>
        <v>705.6</v>
      </c>
      <c r="U6" s="39">
        <f>Q6*R6</f>
        <v>5880</v>
      </c>
      <c r="V6" s="43">
        <f>'Electrcity Entry Form'!E11</f>
        <v>2070</v>
      </c>
      <c r="W6" s="44">
        <f>I6</f>
        <v>5880</v>
      </c>
      <c r="X6" s="36"/>
    </row>
    <row r="7" spans="1:24" x14ac:dyDescent="0.3">
      <c r="A7" s="42" t="s">
        <v>222</v>
      </c>
      <c r="B7" s="45">
        <v>5</v>
      </c>
      <c r="C7" s="43">
        <v>0</v>
      </c>
      <c r="D7" s="52">
        <v>4885</v>
      </c>
      <c r="E7" s="39">
        <f t="shared" ref="E7:E8" si="3">C7+D7</f>
        <v>4885</v>
      </c>
      <c r="F7" s="46">
        <v>8.7999999999999995E-2</v>
      </c>
      <c r="G7" s="38">
        <f t="shared" si="1"/>
        <v>429.88</v>
      </c>
      <c r="H7" s="67">
        <f t="shared" si="2"/>
        <v>977</v>
      </c>
      <c r="I7" s="36">
        <v>4420</v>
      </c>
      <c r="J7" s="39">
        <f>I7+V7</f>
        <v>554260</v>
      </c>
      <c r="K7" s="53">
        <f>I7*S7</f>
        <v>353.6</v>
      </c>
      <c r="L7" s="36">
        <v>5180</v>
      </c>
      <c r="M7" s="47">
        <v>3730</v>
      </c>
      <c r="N7" s="36"/>
      <c r="O7" s="42" t="s">
        <v>207</v>
      </c>
      <c r="P7" s="36" t="s">
        <v>35</v>
      </c>
      <c r="Q7" s="45">
        <v>5</v>
      </c>
      <c r="R7" s="36">
        <v>1200</v>
      </c>
      <c r="S7" s="37">
        <v>0.08</v>
      </c>
      <c r="T7" s="38">
        <f>Q7*R7*S7</f>
        <v>480</v>
      </c>
      <c r="U7" s="39">
        <f>I7</f>
        <v>4420</v>
      </c>
      <c r="V7" s="40">
        <f>'Electrcity Entry Form'!E13</f>
        <v>549840</v>
      </c>
      <c r="W7" s="41">
        <f>I7</f>
        <v>4420</v>
      </c>
      <c r="X7" s="36"/>
    </row>
    <row r="8" spans="1:24" x14ac:dyDescent="0.3">
      <c r="A8" s="42" t="s">
        <v>223</v>
      </c>
      <c r="B8" s="36">
        <v>111.4</v>
      </c>
      <c r="C8" s="43">
        <f>'Electrcity Entry Form'!C13</f>
        <v>404720</v>
      </c>
      <c r="D8" s="67">
        <v>112360</v>
      </c>
      <c r="E8" s="39">
        <f t="shared" si="3"/>
        <v>517080</v>
      </c>
      <c r="F8" s="46">
        <v>8.7999999999999995E-2</v>
      </c>
      <c r="G8" s="38">
        <f t="shared" si="1"/>
        <v>9887.68</v>
      </c>
      <c r="H8" s="67">
        <f t="shared" si="2"/>
        <v>1008.6175942549371</v>
      </c>
      <c r="I8" s="52">
        <v>0</v>
      </c>
      <c r="J8" s="39">
        <f>I8+V8</f>
        <v>0</v>
      </c>
      <c r="K8" s="53"/>
      <c r="L8" s="36"/>
      <c r="M8" s="47"/>
      <c r="N8" s="36"/>
      <c r="O8" s="42" t="s">
        <v>208</v>
      </c>
      <c r="P8" s="36" t="s">
        <v>35</v>
      </c>
      <c r="Q8" s="36">
        <v>111.4</v>
      </c>
      <c r="R8" s="36">
        <v>1200</v>
      </c>
      <c r="S8" s="37">
        <v>0.08</v>
      </c>
      <c r="T8" s="38">
        <f>Q8*R8*S8</f>
        <v>10694.4</v>
      </c>
      <c r="U8" s="39">
        <f>Q8*R8</f>
        <v>133680</v>
      </c>
      <c r="V8" s="40">
        <v>0</v>
      </c>
      <c r="W8" s="41"/>
      <c r="X8" s="36"/>
    </row>
    <row r="9" spans="1:24" x14ac:dyDescent="0.3">
      <c r="A9" s="110" t="s">
        <v>215</v>
      </c>
      <c r="B9" s="36"/>
      <c r="C9" s="43"/>
      <c r="D9" s="69">
        <f>SUM(D4:D8)</f>
        <v>179271</v>
      </c>
      <c r="E9" s="36"/>
      <c r="F9" s="37"/>
      <c r="G9" s="49">
        <f>SUM(G4:G8)</f>
        <v>15898.8</v>
      </c>
      <c r="H9" s="67"/>
      <c r="I9" s="50">
        <f>SUM(I4:I8)</f>
        <v>10300</v>
      </c>
      <c r="J9" s="39"/>
      <c r="K9" s="53"/>
      <c r="L9" s="36"/>
      <c r="M9" s="47"/>
      <c r="N9" s="36"/>
      <c r="O9" s="35"/>
      <c r="P9" s="36"/>
      <c r="Q9" s="36"/>
      <c r="R9" s="36"/>
      <c r="S9" s="37"/>
      <c r="T9" s="38"/>
      <c r="U9" s="39"/>
      <c r="V9" s="40"/>
      <c r="W9" s="41"/>
      <c r="X9" s="36"/>
    </row>
    <row r="10" spans="1:24" x14ac:dyDescent="0.3">
      <c r="A10" s="42" t="s">
        <v>214</v>
      </c>
      <c r="B10" s="36">
        <v>5.125</v>
      </c>
      <c r="C10" s="43">
        <f>'Electrcity Entry Form'!C15</f>
        <v>8414</v>
      </c>
      <c r="D10" s="52">
        <f>25*210</f>
        <v>5250</v>
      </c>
      <c r="E10" s="39">
        <f>C10+D10</f>
        <v>13664</v>
      </c>
      <c r="F10" s="46">
        <v>0.13500000000000001</v>
      </c>
      <c r="G10" s="38">
        <f t="shared" ref="G10:G11" si="4">D10*F10</f>
        <v>708.75</v>
      </c>
      <c r="H10" s="67">
        <f t="shared" si="2"/>
        <v>1024.3902439024391</v>
      </c>
      <c r="I10" s="52">
        <v>4543</v>
      </c>
      <c r="J10" s="39">
        <f>V10+U10</f>
        <v>13257.284374999999</v>
      </c>
      <c r="K10" s="53"/>
      <c r="L10" s="36"/>
      <c r="M10" s="47"/>
      <c r="N10" s="36"/>
      <c r="O10" s="42" t="s">
        <v>86</v>
      </c>
      <c r="P10" s="36" t="s">
        <v>36</v>
      </c>
      <c r="Q10" s="36">
        <v>5.125</v>
      </c>
      <c r="R10" s="45">
        <f>F23</f>
        <v>994.75</v>
      </c>
      <c r="S10" s="37">
        <v>0.14000000000000001</v>
      </c>
      <c r="T10" s="38">
        <f>(Q10*R10*S10)*0.9</f>
        <v>642.35981250000009</v>
      </c>
      <c r="U10" s="39">
        <f>(Q10*R10)*0.9</f>
        <v>4588.2843750000002</v>
      </c>
      <c r="V10" s="40">
        <f>'Electrcity Entry Form'!E15</f>
        <v>8669</v>
      </c>
      <c r="W10" s="41">
        <f>U10</f>
        <v>4588.2843750000002</v>
      </c>
      <c r="X10" s="36"/>
    </row>
    <row r="11" spans="1:24" x14ac:dyDescent="0.3">
      <c r="A11" s="42" t="s">
        <v>37</v>
      </c>
      <c r="B11" s="36">
        <v>190</v>
      </c>
      <c r="C11" s="40"/>
      <c r="D11" s="70">
        <v>203850</v>
      </c>
      <c r="E11" s="36"/>
      <c r="F11" s="46">
        <v>8.1000000000000003E-2</v>
      </c>
      <c r="G11" s="38">
        <f t="shared" si="4"/>
        <v>16511.850000000002</v>
      </c>
      <c r="H11" s="67">
        <f t="shared" si="2"/>
        <v>1072.8947368421052</v>
      </c>
      <c r="I11" s="39">
        <f>190*C24</f>
        <v>203490</v>
      </c>
      <c r="J11" s="36"/>
      <c r="K11" s="53"/>
      <c r="L11" s="36"/>
      <c r="M11" s="47"/>
      <c r="N11" s="36"/>
      <c r="O11" s="42" t="s">
        <v>37</v>
      </c>
      <c r="P11" s="36" t="s">
        <v>36</v>
      </c>
      <c r="Q11" s="36">
        <v>190</v>
      </c>
      <c r="R11" s="36">
        <f>F24</f>
        <v>1072</v>
      </c>
      <c r="S11" s="46">
        <v>7.4999999999999997E-2</v>
      </c>
      <c r="T11" s="38">
        <f>Q11*R11*S11</f>
        <v>15276</v>
      </c>
      <c r="U11" s="39">
        <f>Q11*R11</f>
        <v>203680</v>
      </c>
      <c r="V11" s="40"/>
      <c r="W11" s="41"/>
      <c r="X11" s="36"/>
    </row>
    <row r="12" spans="1:24" x14ac:dyDescent="0.3">
      <c r="A12" s="110" t="s">
        <v>216</v>
      </c>
      <c r="B12" s="36"/>
      <c r="C12" s="40"/>
      <c r="D12" s="69">
        <f>SUM(D10:D11)</f>
        <v>209100</v>
      </c>
      <c r="E12" s="36"/>
      <c r="F12" s="36"/>
      <c r="G12" s="49">
        <f>SUM(G10:G11)</f>
        <v>17220.600000000002</v>
      </c>
      <c r="H12" s="67"/>
      <c r="I12" s="48">
        <f>SUM(I10:I11)</f>
        <v>208033</v>
      </c>
      <c r="J12" s="36"/>
      <c r="K12" s="53"/>
      <c r="L12" s="36"/>
      <c r="M12" s="47"/>
      <c r="N12" s="36"/>
      <c r="O12" s="42"/>
      <c r="P12" s="36"/>
      <c r="Q12" s="36"/>
      <c r="R12" s="36"/>
      <c r="S12" s="46"/>
      <c r="T12" s="38"/>
      <c r="U12" s="39"/>
      <c r="V12" s="40"/>
      <c r="W12" s="41"/>
      <c r="X12" s="36"/>
    </row>
    <row r="13" spans="1:24" x14ac:dyDescent="0.3">
      <c r="A13" s="54" t="s">
        <v>217</v>
      </c>
      <c r="B13" s="39">
        <f>SUM(B4:B8)</f>
        <v>174</v>
      </c>
      <c r="C13" s="40"/>
      <c r="D13" s="70">
        <f>D9+D10</f>
        <v>184521</v>
      </c>
      <c r="E13" s="36"/>
      <c r="F13" s="36"/>
      <c r="G13" s="36"/>
      <c r="H13" s="67"/>
      <c r="I13" s="39"/>
      <c r="J13" s="36"/>
      <c r="K13" s="53"/>
      <c r="L13" s="36"/>
      <c r="M13" s="47"/>
      <c r="N13" s="36"/>
      <c r="O13" s="42" t="s">
        <v>142</v>
      </c>
      <c r="P13" s="36"/>
      <c r="Q13" s="39">
        <f>SUM(Q4:Q8)</f>
        <v>174</v>
      </c>
      <c r="R13" s="36"/>
      <c r="S13" s="46"/>
      <c r="T13" s="38">
        <f>SUM(T4:T8)</f>
        <v>17342.400000000001</v>
      </c>
      <c r="U13" s="39">
        <f>SUM(U4:U8)</f>
        <v>207220</v>
      </c>
      <c r="V13" s="40"/>
      <c r="W13" s="41">
        <f>W6+W7</f>
        <v>10300</v>
      </c>
      <c r="X13" s="36"/>
    </row>
    <row r="14" spans="1:24" x14ac:dyDescent="0.3">
      <c r="A14" s="60"/>
      <c r="B14" s="162">
        <f>SUM(B10:B11)</f>
        <v>195.125</v>
      </c>
      <c r="C14" s="55"/>
      <c r="D14" s="55"/>
      <c r="E14" s="55"/>
      <c r="F14" s="55"/>
      <c r="G14" s="55"/>
      <c r="H14" s="91"/>
      <c r="I14" s="55"/>
      <c r="J14" s="55"/>
      <c r="K14" s="163"/>
      <c r="L14" s="164"/>
      <c r="M14" s="165"/>
      <c r="N14" s="36"/>
      <c r="O14" s="42" t="s">
        <v>143</v>
      </c>
      <c r="P14" s="36"/>
      <c r="Q14" s="39">
        <f>SUM(Q10:Q11)</f>
        <v>195.125</v>
      </c>
      <c r="R14" s="36"/>
      <c r="S14" s="36"/>
      <c r="T14" s="38">
        <f>SUM(T10:T11)</f>
        <v>15918.359812500001</v>
      </c>
      <c r="U14" s="39">
        <f>SUM(U10:U11)</f>
        <v>208268.28437499999</v>
      </c>
      <c r="V14" s="36"/>
      <c r="W14" s="104">
        <f>W10</f>
        <v>4588.2843750000002</v>
      </c>
      <c r="X14" s="36"/>
    </row>
    <row r="15" spans="1:24" x14ac:dyDescent="0.3">
      <c r="A15" s="78" t="s">
        <v>212</v>
      </c>
      <c r="B15" s="83">
        <f>SUM(B13:B14)</f>
        <v>369.125</v>
      </c>
      <c r="C15" s="79">
        <f>SUM(C4:C11)</f>
        <v>434504</v>
      </c>
      <c r="D15" s="79">
        <f>D9+D12</f>
        <v>388371</v>
      </c>
      <c r="E15" s="79">
        <f t="shared" ref="E15:M15" si="5">SUM(E4:E11)</f>
        <v>619025</v>
      </c>
      <c r="F15" s="79"/>
      <c r="G15" s="167">
        <f>G9+G12</f>
        <v>33119.4</v>
      </c>
      <c r="H15" s="166"/>
      <c r="I15" s="79">
        <f>I9+I12</f>
        <v>218333</v>
      </c>
      <c r="J15" s="79">
        <f t="shared" si="5"/>
        <v>643349.28437500005</v>
      </c>
      <c r="K15" s="79">
        <f t="shared" si="5"/>
        <v>1059.2</v>
      </c>
      <c r="L15" s="79">
        <f t="shared" si="5"/>
        <v>5180</v>
      </c>
      <c r="M15" s="80">
        <f t="shared" si="5"/>
        <v>3730</v>
      </c>
      <c r="N15" s="36"/>
      <c r="O15" s="81" t="s">
        <v>4</v>
      </c>
      <c r="P15" s="82"/>
      <c r="Q15" s="83">
        <f>SUM(Q13:Q14)</f>
        <v>369.125</v>
      </c>
      <c r="R15" s="82"/>
      <c r="S15" s="82"/>
      <c r="T15" s="167">
        <f>SUM(T13:T14)</f>
        <v>33260.7598125</v>
      </c>
      <c r="U15" s="83">
        <f>SUM(U13:U14)</f>
        <v>415488.28437499999</v>
      </c>
      <c r="V15" s="84">
        <f>SUM(V4:V11)</f>
        <v>628461</v>
      </c>
      <c r="W15" s="85">
        <f>W13+W14</f>
        <v>14888.284374999999</v>
      </c>
      <c r="X15" s="36"/>
    </row>
    <row r="16" spans="1:24" x14ac:dyDescent="0.3">
      <c r="A16" s="50"/>
      <c r="B16" s="11"/>
      <c r="C16" s="11"/>
      <c r="O16" s="32"/>
      <c r="P16" s="32"/>
      <c r="Q16" s="32"/>
      <c r="R16" s="72" t="s">
        <v>162</v>
      </c>
      <c r="S16" s="73"/>
      <c r="T16" s="55"/>
      <c r="U16" s="74">
        <f>V15+W15</f>
        <v>643349.28437500005</v>
      </c>
      <c r="V16" s="50"/>
    </row>
    <row r="17" spans="1:16" x14ac:dyDescent="0.3">
      <c r="A17" t="s">
        <v>178</v>
      </c>
      <c r="B17" t="s">
        <v>310</v>
      </c>
    </row>
    <row r="18" spans="1:16" x14ac:dyDescent="0.3">
      <c r="B18" t="s">
        <v>311</v>
      </c>
      <c r="O18" t="s">
        <v>178</v>
      </c>
      <c r="P18" t="s">
        <v>224</v>
      </c>
    </row>
    <row r="19" spans="1:16" x14ac:dyDescent="0.3">
      <c r="B19" t="s">
        <v>259</v>
      </c>
      <c r="P19" t="s">
        <v>225</v>
      </c>
    </row>
    <row r="21" spans="1:16" x14ac:dyDescent="0.3">
      <c r="A21" s="178" t="s">
        <v>194</v>
      </c>
      <c r="B21" s="179"/>
      <c r="C21" s="179"/>
      <c r="D21" s="56"/>
      <c r="E21" s="56"/>
      <c r="F21" s="57"/>
    </row>
    <row r="22" spans="1:16" ht="28.8" x14ac:dyDescent="0.3">
      <c r="A22" s="42"/>
      <c r="B22" s="58" t="s">
        <v>180</v>
      </c>
      <c r="C22" s="58" t="s">
        <v>181</v>
      </c>
      <c r="D22" s="58" t="s">
        <v>182</v>
      </c>
      <c r="E22" s="58" t="s">
        <v>183</v>
      </c>
      <c r="F22" s="59" t="s">
        <v>184</v>
      </c>
    </row>
    <row r="23" spans="1:16" x14ac:dyDescent="0.3">
      <c r="A23" s="42" t="s">
        <v>179</v>
      </c>
      <c r="B23" s="36">
        <v>1024</v>
      </c>
      <c r="C23" s="36">
        <v>831</v>
      </c>
      <c r="D23" s="36">
        <v>1026</v>
      </c>
      <c r="E23" s="36">
        <v>1098</v>
      </c>
      <c r="F23" s="63">
        <f>AVERAGE(B23:E23)</f>
        <v>994.75</v>
      </c>
    </row>
    <row r="24" spans="1:16" x14ac:dyDescent="0.3">
      <c r="A24" s="60" t="s">
        <v>37</v>
      </c>
      <c r="B24" s="108">
        <v>1073</v>
      </c>
      <c r="C24" s="55">
        <v>1071</v>
      </c>
      <c r="D24" s="55"/>
      <c r="E24" s="55"/>
      <c r="F24" s="64">
        <f>AVERAGE(B24:E24)</f>
        <v>1072</v>
      </c>
    </row>
    <row r="26" spans="1:16" x14ac:dyDescent="0.3">
      <c r="A26" t="s">
        <v>185</v>
      </c>
    </row>
    <row r="27" spans="1:16" x14ac:dyDescent="0.3">
      <c r="A27" s="180" t="s">
        <v>195</v>
      </c>
      <c r="B27" s="180"/>
      <c r="C27" s="180"/>
    </row>
    <row r="29" spans="1:16" x14ac:dyDescent="0.3">
      <c r="A29" s="178" t="s">
        <v>193</v>
      </c>
      <c r="B29" s="179"/>
      <c r="C29" s="61" t="s">
        <v>186</v>
      </c>
      <c r="D29" s="62" t="s">
        <v>30</v>
      </c>
    </row>
    <row r="30" spans="1:16" x14ac:dyDescent="0.3">
      <c r="A30" s="42" t="s">
        <v>187</v>
      </c>
      <c r="B30" s="36"/>
      <c r="C30" s="36">
        <v>1275</v>
      </c>
      <c r="D30" s="63">
        <f>C30*1000/984</f>
        <v>1295.7317073170732</v>
      </c>
    </row>
    <row r="31" spans="1:16" x14ac:dyDescent="0.3">
      <c r="A31" s="60" t="s">
        <v>188</v>
      </c>
      <c r="B31" s="55"/>
      <c r="C31" s="55">
        <v>1500</v>
      </c>
      <c r="D31" s="64">
        <f>C31*1000/998</f>
        <v>1503.006012024048</v>
      </c>
    </row>
    <row r="33" spans="1:1" x14ac:dyDescent="0.3">
      <c r="A33" t="s">
        <v>210</v>
      </c>
    </row>
    <row r="34" spans="1:1" x14ac:dyDescent="0.3">
      <c r="A34" t="s">
        <v>260</v>
      </c>
    </row>
  </sheetData>
  <mergeCells count="6">
    <mergeCell ref="O2:W2"/>
    <mergeCell ref="A29:B29"/>
    <mergeCell ref="A21:C21"/>
    <mergeCell ref="A27:C27"/>
    <mergeCell ref="A1:M1"/>
    <mergeCell ref="A2:M2"/>
  </mergeCells>
  <printOptions gridLines="1"/>
  <pageMargins left="0.7" right="0.7" top="0.75" bottom="0.75" header="0.3" footer="0.3"/>
  <pageSetup scale="88" fitToWidth="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59562-CFC6-412E-B381-EC2567847FE5}">
  <sheetPr>
    <pageSetUpPr fitToPage="1"/>
  </sheetPr>
  <dimension ref="A1:K37"/>
  <sheetViews>
    <sheetView tabSelected="1" workbookViewId="0">
      <selection activeCell="H6" sqref="H6"/>
    </sheetView>
  </sheetViews>
  <sheetFormatPr defaultRowHeight="14.4" x14ac:dyDescent="0.3"/>
  <cols>
    <col min="1" max="1" width="25.21875" customWidth="1"/>
    <col min="2" max="2" width="11.44140625" customWidth="1"/>
    <col min="3" max="3" width="11.21875" customWidth="1"/>
    <col min="4" max="4" width="10.5546875" customWidth="1"/>
    <col min="5" max="5" width="13.44140625" customWidth="1"/>
    <col min="6" max="6" width="12.6640625" customWidth="1"/>
    <col min="7" max="7" width="10.88671875" customWidth="1"/>
    <col min="8" max="8" width="11.44140625" customWidth="1"/>
    <col min="9" max="9" width="13" customWidth="1"/>
    <col min="10" max="10" width="9.77734375" customWidth="1"/>
    <col min="11" max="11" width="12.6640625" customWidth="1"/>
  </cols>
  <sheetData>
    <row r="1" spans="1:11" ht="15.6" x14ac:dyDescent="0.3">
      <c r="A1" s="174" t="s">
        <v>233</v>
      </c>
      <c r="B1" s="174"/>
      <c r="C1" s="174"/>
      <c r="D1" s="174"/>
      <c r="E1" s="174"/>
      <c r="F1" s="174"/>
      <c r="G1" s="174"/>
      <c r="H1" s="174"/>
    </row>
    <row r="2" spans="1:11" x14ac:dyDescent="0.3">
      <c r="A2" s="171" t="s">
        <v>8</v>
      </c>
      <c r="B2" s="183" t="s">
        <v>235</v>
      </c>
      <c r="C2" s="183" t="s">
        <v>234</v>
      </c>
      <c r="D2" s="183" t="s">
        <v>130</v>
      </c>
      <c r="E2" s="101"/>
      <c r="F2" s="183" t="s">
        <v>172</v>
      </c>
      <c r="G2" s="171" t="s">
        <v>138</v>
      </c>
      <c r="H2" s="171"/>
      <c r="I2" s="171"/>
    </row>
    <row r="3" spans="1:11" ht="73.2" customHeight="1" x14ac:dyDescent="0.3">
      <c r="A3" s="171"/>
      <c r="B3" s="183"/>
      <c r="C3" s="183"/>
      <c r="D3" s="183"/>
      <c r="E3" s="101" t="s">
        <v>242</v>
      </c>
      <c r="F3" s="183"/>
      <c r="G3" s="3" t="s">
        <v>189</v>
      </c>
      <c r="H3" s="3" t="s">
        <v>125</v>
      </c>
      <c r="I3" s="3" t="s">
        <v>122</v>
      </c>
      <c r="J3" s="3" t="s">
        <v>241</v>
      </c>
      <c r="K3" s="3" t="s">
        <v>243</v>
      </c>
    </row>
    <row r="4" spans="1:11" x14ac:dyDescent="0.3">
      <c r="A4" t="s">
        <v>38</v>
      </c>
      <c r="B4" s="10">
        <f>'Electrcity Entry Form'!C3</f>
        <v>15593</v>
      </c>
      <c r="C4" s="24">
        <v>0</v>
      </c>
      <c r="D4" s="24"/>
      <c r="E4" s="24">
        <f>B4</f>
        <v>15593</v>
      </c>
      <c r="F4" s="24">
        <f>B4+D4</f>
        <v>15593</v>
      </c>
      <c r="G4" s="24">
        <f>-(F4*0.56)</f>
        <v>-8732.08</v>
      </c>
      <c r="H4" s="10">
        <f>F4+G4</f>
        <v>6860.92</v>
      </c>
      <c r="I4" s="10">
        <f>ROUND(H4,-2)</f>
        <v>6900</v>
      </c>
    </row>
    <row r="5" spans="1:11" x14ac:dyDescent="0.3">
      <c r="A5" s="7" t="s">
        <v>20</v>
      </c>
      <c r="B5" s="10">
        <f>'Electrcity Entry Form'!C4</f>
        <v>2141</v>
      </c>
      <c r="C5" s="24">
        <v>0</v>
      </c>
      <c r="D5" s="24"/>
      <c r="E5" s="24">
        <f t="shared" ref="E5:E6" si="0">B5</f>
        <v>2141</v>
      </c>
      <c r="F5" s="24">
        <f t="shared" ref="F5:F16" si="1">B5+D5</f>
        <v>2141</v>
      </c>
      <c r="G5" s="24">
        <f t="shared" ref="G5:G16" si="2">-(F5*0.56)</f>
        <v>-1198.96</v>
      </c>
      <c r="H5" s="10">
        <f t="shared" ref="H5:H16" si="3">F5+G5</f>
        <v>942.04</v>
      </c>
      <c r="I5" s="10">
        <f t="shared" ref="I5:I16" si="4">ROUND(H5,-2)</f>
        <v>900</v>
      </c>
    </row>
    <row r="6" spans="1:11" x14ac:dyDescent="0.3">
      <c r="A6" t="s">
        <v>49</v>
      </c>
      <c r="B6" s="10">
        <f>'Electrcity Entry Form'!C5</f>
        <v>285600</v>
      </c>
      <c r="C6" s="24">
        <v>0</v>
      </c>
      <c r="D6" s="24">
        <f>-'Renewable Electricity'!D11*0.7368</f>
        <v>-150196.68</v>
      </c>
      <c r="E6" s="24">
        <f t="shared" si="0"/>
        <v>285600</v>
      </c>
      <c r="F6" s="24">
        <f t="shared" si="1"/>
        <v>135403.32</v>
      </c>
      <c r="G6" s="24">
        <f t="shared" si="2"/>
        <v>-75825.859200000006</v>
      </c>
      <c r="H6" s="10">
        <f t="shared" si="3"/>
        <v>59577.460800000001</v>
      </c>
      <c r="I6" s="10">
        <f t="shared" si="4"/>
        <v>59600</v>
      </c>
    </row>
    <row r="7" spans="1:11" x14ac:dyDescent="0.3">
      <c r="A7" s="7" t="s">
        <v>19</v>
      </c>
      <c r="B7" s="10">
        <f>'Electrcity Entry Form'!C7</f>
        <v>3107</v>
      </c>
      <c r="C7" s="24">
        <f>-'Renewable Electricity'!D4</f>
        <v>-9879</v>
      </c>
      <c r="D7" s="24"/>
      <c r="E7" s="24">
        <f>B7-C7</f>
        <v>12986</v>
      </c>
      <c r="F7" s="24">
        <f t="shared" si="1"/>
        <v>3107</v>
      </c>
      <c r="G7" s="24">
        <f t="shared" si="2"/>
        <v>-1739.92</v>
      </c>
      <c r="H7" s="10">
        <f t="shared" si="3"/>
        <v>1367.08</v>
      </c>
      <c r="I7" s="10">
        <f t="shared" si="4"/>
        <v>1400</v>
      </c>
    </row>
    <row r="8" spans="1:11" x14ac:dyDescent="0.3">
      <c r="A8" t="s">
        <v>18</v>
      </c>
      <c r="B8" s="10">
        <f>'Electrcity Entry Form'!C8</f>
        <v>17320</v>
      </c>
      <c r="C8" s="24">
        <f>-'Renewable Electricity'!D5</f>
        <v>-46547</v>
      </c>
      <c r="D8" s="24"/>
      <c r="E8" s="24">
        <f>B8-C8</f>
        <v>63867</v>
      </c>
      <c r="F8" s="24">
        <f t="shared" si="1"/>
        <v>17320</v>
      </c>
      <c r="G8" s="24">
        <f t="shared" si="2"/>
        <v>-9699.2000000000007</v>
      </c>
      <c r="H8" s="10">
        <f t="shared" si="3"/>
        <v>7620.7999999999993</v>
      </c>
      <c r="I8" s="10">
        <f t="shared" si="4"/>
        <v>7600</v>
      </c>
    </row>
    <row r="9" spans="1:11" x14ac:dyDescent="0.3">
      <c r="A9" t="s">
        <v>56</v>
      </c>
      <c r="B9" s="10">
        <f>'Electrcity Entry Form'!C9</f>
        <v>6855</v>
      </c>
      <c r="C9" s="24">
        <v>0</v>
      </c>
      <c r="D9" s="24"/>
      <c r="E9" s="24">
        <f>B9</f>
        <v>6855</v>
      </c>
      <c r="F9" s="24">
        <f t="shared" si="1"/>
        <v>6855</v>
      </c>
      <c r="G9" s="24">
        <f t="shared" si="2"/>
        <v>-3838.8</v>
      </c>
      <c r="H9" s="10">
        <f t="shared" si="3"/>
        <v>3016.2</v>
      </c>
      <c r="I9" s="10">
        <f t="shared" si="4"/>
        <v>3000</v>
      </c>
    </row>
    <row r="10" spans="1:11" x14ac:dyDescent="0.3">
      <c r="A10" t="s">
        <v>57</v>
      </c>
      <c r="B10" s="10">
        <f>'Electrcity Entry Form'!C10</f>
        <v>6801</v>
      </c>
      <c r="C10" s="24">
        <f>-'Renewable Electricity'!D6</f>
        <v>-5600</v>
      </c>
      <c r="D10" s="24"/>
      <c r="E10" s="24">
        <f>B10-C10</f>
        <v>12401</v>
      </c>
      <c r="F10" s="24">
        <f t="shared" si="1"/>
        <v>6801</v>
      </c>
      <c r="G10" s="24">
        <f t="shared" si="2"/>
        <v>-3808.5600000000004</v>
      </c>
      <c r="H10" s="10">
        <f t="shared" si="3"/>
        <v>2992.4399999999996</v>
      </c>
      <c r="I10" s="10">
        <f t="shared" si="4"/>
        <v>3000</v>
      </c>
    </row>
    <row r="11" spans="1:11" x14ac:dyDescent="0.3">
      <c r="A11" s="7" t="s">
        <v>26</v>
      </c>
      <c r="B11" s="23">
        <f>'Electrcity Entry Form'!C11</f>
        <v>943</v>
      </c>
      <c r="C11" s="24">
        <v>0</v>
      </c>
      <c r="D11" s="24"/>
      <c r="E11" s="24">
        <f>B11</f>
        <v>943</v>
      </c>
      <c r="F11" s="24">
        <f t="shared" si="1"/>
        <v>943</v>
      </c>
      <c r="G11" s="24">
        <f t="shared" si="2"/>
        <v>-528.08000000000004</v>
      </c>
      <c r="H11" s="10">
        <f t="shared" si="3"/>
        <v>414.91999999999996</v>
      </c>
      <c r="I11" s="10">
        <f t="shared" si="4"/>
        <v>400</v>
      </c>
    </row>
    <row r="12" spans="1:11" x14ac:dyDescent="0.3">
      <c r="A12" s="7" t="s">
        <v>58</v>
      </c>
      <c r="B12" s="10">
        <f>'Electrcity Entry Form'!C13</f>
        <v>404720</v>
      </c>
      <c r="C12" s="24">
        <f>-('Renewable Electricity'!D7+'Renewable Electricity'!D8)</f>
        <v>-117245</v>
      </c>
      <c r="D12" s="24">
        <f>-'Renewable Electricity'!D11*0.2632</f>
        <v>-53653.32</v>
      </c>
      <c r="E12" s="24">
        <f>B12-C12</f>
        <v>521965</v>
      </c>
      <c r="F12" s="24">
        <f t="shared" si="1"/>
        <v>351066.68</v>
      </c>
      <c r="G12" s="24">
        <f t="shared" si="2"/>
        <v>-196597.34080000001</v>
      </c>
      <c r="H12" s="10">
        <f t="shared" si="3"/>
        <v>154469.33919999999</v>
      </c>
      <c r="I12" s="10">
        <f t="shared" si="4"/>
        <v>154500</v>
      </c>
    </row>
    <row r="13" spans="1:11" x14ac:dyDescent="0.3">
      <c r="A13" s="7" t="s">
        <v>22</v>
      </c>
      <c r="B13" s="10">
        <f>'Electrcity Entry Form'!C14</f>
        <v>5218</v>
      </c>
      <c r="C13" s="24">
        <v>0</v>
      </c>
      <c r="D13" s="24"/>
      <c r="E13" s="24">
        <f t="shared" ref="E13:E16" si="5">B13</f>
        <v>5218</v>
      </c>
      <c r="F13" s="24">
        <f t="shared" si="1"/>
        <v>5218</v>
      </c>
      <c r="G13" s="24">
        <f t="shared" si="2"/>
        <v>-2922.0800000000004</v>
      </c>
      <c r="H13" s="10">
        <f t="shared" si="3"/>
        <v>2295.9199999999996</v>
      </c>
      <c r="I13" s="10">
        <f t="shared" si="4"/>
        <v>2300</v>
      </c>
    </row>
    <row r="14" spans="1:11" x14ac:dyDescent="0.3">
      <c r="A14" s="7" t="s">
        <v>203</v>
      </c>
      <c r="B14" s="10">
        <f>'Electrcity Entry Form'!C16</f>
        <v>1060</v>
      </c>
      <c r="C14" s="24">
        <v>0</v>
      </c>
      <c r="D14" s="24"/>
      <c r="E14" s="24">
        <f t="shared" si="5"/>
        <v>1060</v>
      </c>
      <c r="F14" s="24">
        <f t="shared" si="1"/>
        <v>1060</v>
      </c>
      <c r="G14" s="24">
        <f t="shared" si="2"/>
        <v>-593.6</v>
      </c>
      <c r="H14" s="10">
        <f t="shared" si="3"/>
        <v>466.4</v>
      </c>
      <c r="I14" s="10">
        <f t="shared" si="4"/>
        <v>500</v>
      </c>
    </row>
    <row r="15" spans="1:11" x14ac:dyDescent="0.3">
      <c r="A15" s="7" t="s">
        <v>204</v>
      </c>
      <c r="B15" s="10">
        <f>'Electrcity Entry Form'!C17</f>
        <v>9759</v>
      </c>
      <c r="C15" s="24">
        <v>0</v>
      </c>
      <c r="D15" s="24"/>
      <c r="E15" s="24">
        <f t="shared" si="5"/>
        <v>9759</v>
      </c>
      <c r="F15" s="24">
        <f t="shared" si="1"/>
        <v>9759</v>
      </c>
      <c r="G15" s="24">
        <f t="shared" si="2"/>
        <v>-5465.0400000000009</v>
      </c>
      <c r="H15" s="10">
        <f t="shared" si="3"/>
        <v>4293.9599999999991</v>
      </c>
      <c r="I15" s="10">
        <f t="shared" si="4"/>
        <v>4300</v>
      </c>
    </row>
    <row r="16" spans="1:11" x14ac:dyDescent="0.3">
      <c r="A16" s="7" t="s">
        <v>274</v>
      </c>
      <c r="B16" s="10">
        <f>'Electrcity Entry Form'!C18</f>
        <v>6047</v>
      </c>
      <c r="C16" s="24">
        <v>0</v>
      </c>
      <c r="D16" s="24"/>
      <c r="E16" s="24">
        <f t="shared" si="5"/>
        <v>6047</v>
      </c>
      <c r="F16" s="24">
        <f t="shared" si="1"/>
        <v>6047</v>
      </c>
      <c r="G16" s="24">
        <f t="shared" si="2"/>
        <v>-3386.32</v>
      </c>
      <c r="H16" s="10">
        <f t="shared" si="3"/>
        <v>2660.68</v>
      </c>
      <c r="I16" s="10">
        <f t="shared" si="4"/>
        <v>2700</v>
      </c>
    </row>
    <row r="17" spans="1:11" x14ac:dyDescent="0.3">
      <c r="A17" s="7" t="s">
        <v>190</v>
      </c>
      <c r="B17" s="10">
        <f t="shared" ref="B17:I17" si="6">SUM(B4:B16)</f>
        <v>765164</v>
      </c>
      <c r="C17" s="24">
        <f t="shared" si="6"/>
        <v>-179271</v>
      </c>
      <c r="D17" s="24">
        <f t="shared" si="6"/>
        <v>-203850</v>
      </c>
      <c r="E17" s="24">
        <f t="shared" si="6"/>
        <v>944435</v>
      </c>
      <c r="F17" s="24">
        <f t="shared" si="6"/>
        <v>561314</v>
      </c>
      <c r="G17" s="24">
        <f t="shared" si="6"/>
        <v>-314335.84000000003</v>
      </c>
      <c r="H17" s="10">
        <f t="shared" si="6"/>
        <v>246978.16</v>
      </c>
      <c r="I17" s="10">
        <f t="shared" si="6"/>
        <v>247100</v>
      </c>
      <c r="J17" s="2">
        <f>H17/E17</f>
        <v>0.261508902147845</v>
      </c>
      <c r="K17" s="2">
        <f>-(C17+D17+G17)/E17</f>
        <v>0.73849109785215505</v>
      </c>
    </row>
    <row r="18" spans="1:11" x14ac:dyDescent="0.3">
      <c r="A18" s="182"/>
      <c r="B18" s="182"/>
      <c r="C18" s="182"/>
      <c r="D18" s="182"/>
      <c r="E18" s="182"/>
      <c r="F18" s="24"/>
      <c r="G18" s="10"/>
      <c r="H18" s="10"/>
    </row>
    <row r="19" spans="1:11" x14ac:dyDescent="0.3">
      <c r="A19" s="182" t="s">
        <v>174</v>
      </c>
      <c r="B19" s="182"/>
      <c r="C19" s="182"/>
      <c r="D19" s="182"/>
      <c r="E19" s="182"/>
      <c r="F19" s="24"/>
      <c r="G19" s="10"/>
      <c r="H19" s="27">
        <f>I17</f>
        <v>247100</v>
      </c>
    </row>
    <row r="20" spans="1:11" ht="18" customHeight="1" x14ac:dyDescent="0.3">
      <c r="A20" s="182" t="s">
        <v>123</v>
      </c>
      <c r="B20" s="182"/>
      <c r="C20" s="182"/>
      <c r="D20" s="182"/>
      <c r="E20" s="182"/>
      <c r="H20" s="26">
        <f>(H19/100)*0.59</f>
        <v>1457.8899999999999</v>
      </c>
    </row>
    <row r="22" spans="1:11" ht="15.6" x14ac:dyDescent="0.3">
      <c r="A22" s="174" t="s">
        <v>128</v>
      </c>
      <c r="B22" s="174"/>
      <c r="C22" s="174"/>
      <c r="D22" s="174"/>
      <c r="E22" s="174"/>
      <c r="F22" s="174"/>
      <c r="G22" s="174"/>
      <c r="H22" s="174"/>
    </row>
    <row r="23" spans="1:11" ht="57.6" x14ac:dyDescent="0.3">
      <c r="A23" t="s">
        <v>8</v>
      </c>
      <c r="B23" s="3" t="s">
        <v>236</v>
      </c>
      <c r="C23" s="3" t="s">
        <v>237</v>
      </c>
      <c r="D23" s="3" t="s">
        <v>130</v>
      </c>
      <c r="E23" s="3" t="s">
        <v>262</v>
      </c>
      <c r="F23" s="3" t="s">
        <v>132</v>
      </c>
      <c r="G23" s="3" t="s">
        <v>131</v>
      </c>
      <c r="H23" s="3" t="s">
        <v>122</v>
      </c>
    </row>
    <row r="24" spans="1:11" x14ac:dyDescent="0.3">
      <c r="A24" t="s">
        <v>48</v>
      </c>
      <c r="B24" s="10">
        <f>'Electrcity Entry Form'!C6</f>
        <v>128</v>
      </c>
      <c r="C24">
        <v>0</v>
      </c>
      <c r="E24" s="10">
        <f t="shared" ref="E24" si="7">SUM(B24:D24)</f>
        <v>128</v>
      </c>
      <c r="F24" s="24">
        <f>-(E24*0.24)</f>
        <v>-30.72</v>
      </c>
      <c r="G24" s="10">
        <f t="shared" ref="G24:G25" si="8">SUM(E24:F24)</f>
        <v>97.28</v>
      </c>
      <c r="H24" s="10">
        <f t="shared" ref="H24:H25" si="9">ROUND(G24,-2)</f>
        <v>100</v>
      </c>
    </row>
    <row r="25" spans="1:11" x14ac:dyDescent="0.3">
      <c r="A25" t="s">
        <v>86</v>
      </c>
      <c r="B25" s="10">
        <f>'Electrcity Entry Form'!C15</f>
        <v>8414</v>
      </c>
      <c r="C25">
        <v>0</v>
      </c>
      <c r="D25" s="24">
        <f>-'Renewable Electricity'!D10</f>
        <v>-5250</v>
      </c>
      <c r="E25" s="10">
        <f>B25</f>
        <v>8414</v>
      </c>
      <c r="F25" s="24">
        <f t="shared" ref="F25" si="10">-(E25*0.24)</f>
        <v>-2019.36</v>
      </c>
      <c r="G25" s="10">
        <f t="shared" si="8"/>
        <v>6394.64</v>
      </c>
      <c r="H25" s="10">
        <f t="shared" si="9"/>
        <v>6400</v>
      </c>
    </row>
    <row r="26" spans="1:11" x14ac:dyDescent="0.3">
      <c r="A26" t="s">
        <v>191</v>
      </c>
      <c r="B26" s="10">
        <f t="shared" ref="B26:H26" si="11">SUM(B24:B25)</f>
        <v>8542</v>
      </c>
      <c r="C26" s="10">
        <f t="shared" si="11"/>
        <v>0</v>
      </c>
      <c r="D26" s="24">
        <f t="shared" si="11"/>
        <v>-5250</v>
      </c>
      <c r="E26" s="10">
        <f t="shared" si="11"/>
        <v>8542</v>
      </c>
      <c r="F26" s="24">
        <f t="shared" si="11"/>
        <v>-2050.08</v>
      </c>
      <c r="G26" s="24">
        <f t="shared" si="11"/>
        <v>6491.92</v>
      </c>
      <c r="H26" s="10">
        <f t="shared" si="11"/>
        <v>6500</v>
      </c>
    </row>
    <row r="27" spans="1:11" x14ac:dyDescent="0.3">
      <c r="A27" s="171" t="s">
        <v>141</v>
      </c>
      <c r="B27" s="171"/>
      <c r="C27" s="171"/>
      <c r="D27" s="171"/>
      <c r="E27" s="171"/>
      <c r="H27" s="26">
        <f>H26/100</f>
        <v>65</v>
      </c>
    </row>
    <row r="28" spans="1:11" x14ac:dyDescent="0.3">
      <c r="A28" s="100"/>
      <c r="B28" s="100"/>
      <c r="C28" s="100"/>
      <c r="D28" s="100"/>
      <c r="E28" s="100"/>
      <c r="H28" s="26"/>
    </row>
    <row r="29" spans="1:11" x14ac:dyDescent="0.3">
      <c r="A29" s="7" t="s">
        <v>24</v>
      </c>
      <c r="B29" s="10">
        <f>'Electrcity Entry Form'!C12</f>
        <v>14196</v>
      </c>
      <c r="C29">
        <v>0</v>
      </c>
      <c r="E29" s="10">
        <f>SUM(B29:D29)</f>
        <v>14196</v>
      </c>
      <c r="F29" s="24">
        <f>-(E29*0.24)</f>
        <v>-3407.04</v>
      </c>
      <c r="G29" s="10">
        <f>SUM(E29:F29)</f>
        <v>10788.96</v>
      </c>
      <c r="H29" s="10">
        <f t="shared" ref="H29" si="12">ROUND(G29,-2)</f>
        <v>10800</v>
      </c>
    </row>
    <row r="30" spans="1:11" ht="16.2" customHeight="1" x14ac:dyDescent="0.3">
      <c r="A30" s="182" t="s">
        <v>192</v>
      </c>
      <c r="B30" s="182"/>
      <c r="C30" s="182"/>
      <c r="D30" s="182"/>
      <c r="E30" s="182"/>
      <c r="F30" s="24"/>
      <c r="G30" s="10"/>
      <c r="H30" s="26">
        <f>(H29/100)*1.5</f>
        <v>162</v>
      </c>
    </row>
    <row r="31" spans="1:11" ht="16.2" customHeight="1" x14ac:dyDescent="0.3">
      <c r="A31" s="102"/>
      <c r="B31" s="102"/>
      <c r="C31" s="102"/>
      <c r="D31" s="102"/>
      <c r="E31" s="102"/>
      <c r="F31" s="24"/>
      <c r="G31" s="10"/>
      <c r="H31" s="26"/>
    </row>
    <row r="32" spans="1:11" ht="16.2" customHeight="1" x14ac:dyDescent="0.3">
      <c r="A32" s="181" t="s">
        <v>244</v>
      </c>
      <c r="B32" s="181"/>
      <c r="C32" s="181"/>
      <c r="D32" s="181"/>
      <c r="E32" s="181"/>
      <c r="F32" s="181"/>
      <c r="G32" s="181"/>
      <c r="H32" s="181"/>
    </row>
    <row r="33" spans="1:9" ht="28.8" x14ac:dyDescent="0.3">
      <c r="A33" s="7"/>
      <c r="B33" s="10" t="s">
        <v>245</v>
      </c>
      <c r="C33" t="s">
        <v>246</v>
      </c>
      <c r="D33" t="s">
        <v>247</v>
      </c>
      <c r="E33" s="10"/>
      <c r="F33" s="105" t="s">
        <v>248</v>
      </c>
      <c r="G33" s="106" t="s">
        <v>249</v>
      </c>
      <c r="H33" s="10" t="s">
        <v>122</v>
      </c>
    </row>
    <row r="34" spans="1:9" x14ac:dyDescent="0.3">
      <c r="A34" t="s">
        <v>126</v>
      </c>
      <c r="B34" s="10">
        <f t="shared" ref="B34:D34" si="13">B17+B26+B29</f>
        <v>787902</v>
      </c>
      <c r="C34" s="24">
        <f t="shared" si="13"/>
        <v>-179271</v>
      </c>
      <c r="D34" s="24">
        <f t="shared" si="13"/>
        <v>-209100</v>
      </c>
      <c r="E34" s="10"/>
      <c r="F34" s="24">
        <f>G17+F26+F29</f>
        <v>-319792.96000000002</v>
      </c>
      <c r="G34" s="24">
        <f>H17+G26+G29</f>
        <v>264259.04000000004</v>
      </c>
      <c r="H34" s="24">
        <f>H19+H26+H29</f>
        <v>264400</v>
      </c>
    </row>
    <row r="35" spans="1:9" x14ac:dyDescent="0.3">
      <c r="A35" t="s">
        <v>175</v>
      </c>
      <c r="B35" s="10">
        <f>'Renewable Electricity'!D13</f>
        <v>184521</v>
      </c>
      <c r="C35" s="24"/>
      <c r="D35" s="24"/>
      <c r="E35" s="10"/>
      <c r="F35" s="24"/>
      <c r="G35" s="24"/>
      <c r="H35" s="107" t="s">
        <v>250</v>
      </c>
    </row>
    <row r="36" spans="1:9" x14ac:dyDescent="0.3">
      <c r="A36" t="s">
        <v>163</v>
      </c>
      <c r="D36" s="24">
        <f>-D34-C34</f>
        <v>388371</v>
      </c>
      <c r="E36" s="29" t="s">
        <v>238</v>
      </c>
      <c r="H36" s="26">
        <f>H20+H27+H30</f>
        <v>1684.8899999999999</v>
      </c>
      <c r="I36" s="25"/>
    </row>
    <row r="37" spans="1:9" x14ac:dyDescent="0.3">
      <c r="A37" t="s">
        <v>176</v>
      </c>
      <c r="B37" s="10">
        <f>B35+B34</f>
        <v>972423</v>
      </c>
      <c r="C37" s="29" t="s">
        <v>273</v>
      </c>
    </row>
  </sheetData>
  <mergeCells count="14">
    <mergeCell ref="A32:H32"/>
    <mergeCell ref="A30:E30"/>
    <mergeCell ref="A1:H1"/>
    <mergeCell ref="A2:A3"/>
    <mergeCell ref="B2:B3"/>
    <mergeCell ref="C2:C3"/>
    <mergeCell ref="D2:D3"/>
    <mergeCell ref="F2:F3"/>
    <mergeCell ref="G2:I2"/>
    <mergeCell ref="A18:E18"/>
    <mergeCell ref="A19:E19"/>
    <mergeCell ref="A20:E20"/>
    <mergeCell ref="A22:H22"/>
    <mergeCell ref="A27:E27"/>
  </mergeCells>
  <printOptions gridLines="1"/>
  <pageMargins left="0.7" right="0.7" top="0.75" bottom="0.75" header="0.3" footer="0.3"/>
  <pageSetup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C4B20-2ABE-4163-A80C-F03CAAEFDE26}">
  <sheetPr>
    <pageSetUpPr fitToPage="1"/>
  </sheetPr>
  <dimension ref="A1:J32"/>
  <sheetViews>
    <sheetView workbookViewId="0">
      <selection sqref="A1:H1"/>
    </sheetView>
  </sheetViews>
  <sheetFormatPr defaultRowHeight="14.4" x14ac:dyDescent="0.3"/>
  <cols>
    <col min="1" max="1" width="25.21875" customWidth="1"/>
    <col min="2" max="2" width="11.44140625" customWidth="1"/>
    <col min="3" max="3" width="11.21875" customWidth="1"/>
    <col min="4" max="4" width="10.5546875" customWidth="1"/>
    <col min="5" max="5" width="13.44140625" customWidth="1"/>
    <col min="6" max="6" width="12.6640625" customWidth="1"/>
    <col min="7" max="7" width="10.88671875" customWidth="1"/>
    <col min="8" max="8" width="11.44140625" customWidth="1"/>
    <col min="9" max="9" width="13" customWidth="1"/>
    <col min="10" max="10" width="10.77734375" customWidth="1"/>
  </cols>
  <sheetData>
    <row r="1" spans="1:10" ht="15.6" x14ac:dyDescent="0.3">
      <c r="A1" s="174" t="s">
        <v>124</v>
      </c>
      <c r="B1" s="174"/>
      <c r="C1" s="174"/>
      <c r="D1" s="174"/>
      <c r="E1" s="174"/>
      <c r="F1" s="174"/>
      <c r="G1" s="174"/>
      <c r="H1" s="174"/>
    </row>
    <row r="2" spans="1:10" x14ac:dyDescent="0.3">
      <c r="A2" s="171" t="s">
        <v>8</v>
      </c>
      <c r="B2" s="183" t="s">
        <v>170</v>
      </c>
      <c r="C2" s="183" t="s">
        <v>171</v>
      </c>
      <c r="D2" s="183" t="s">
        <v>130</v>
      </c>
      <c r="E2" s="183" t="s">
        <v>172</v>
      </c>
      <c r="F2" s="171" t="s">
        <v>138</v>
      </c>
      <c r="G2" s="171"/>
      <c r="H2" s="171"/>
    </row>
    <row r="3" spans="1:10" ht="73.2" customHeight="1" x14ac:dyDescent="0.3">
      <c r="A3" s="171"/>
      <c r="B3" s="183"/>
      <c r="C3" s="183"/>
      <c r="D3" s="183"/>
      <c r="E3" s="183"/>
      <c r="F3" s="3" t="s">
        <v>189</v>
      </c>
      <c r="G3" s="3" t="s">
        <v>125</v>
      </c>
      <c r="H3" s="3" t="s">
        <v>122</v>
      </c>
      <c r="I3" s="3" t="s">
        <v>197</v>
      </c>
      <c r="J3" s="3" t="s">
        <v>196</v>
      </c>
    </row>
    <row r="4" spans="1:10" x14ac:dyDescent="0.3">
      <c r="A4" t="s">
        <v>38</v>
      </c>
      <c r="B4" s="10">
        <f>'Electrcity Entry Form'!E3</f>
        <v>15431</v>
      </c>
      <c r="C4" s="24">
        <v>0</v>
      </c>
      <c r="D4" s="24"/>
      <c r="E4" s="24">
        <f t="shared" ref="E4:E13" si="0">SUM(B4:D4)</f>
        <v>15431</v>
      </c>
      <c r="F4" s="24">
        <f>-(E4*0.56)</f>
        <v>-8641.36</v>
      </c>
      <c r="G4" s="10">
        <f>E4+F4</f>
        <v>6789.6399999999994</v>
      </c>
      <c r="H4" s="10">
        <f>ROUND(G4,-2)</f>
        <v>6800</v>
      </c>
    </row>
    <row r="5" spans="1:10" x14ac:dyDescent="0.3">
      <c r="A5" s="7" t="s">
        <v>20</v>
      </c>
      <c r="B5" s="10">
        <f>'Electrcity Entry Form'!E4</f>
        <v>2112</v>
      </c>
      <c r="C5" s="24">
        <v>0</v>
      </c>
      <c r="D5" s="24"/>
      <c r="E5" s="24">
        <f t="shared" si="0"/>
        <v>2112</v>
      </c>
      <c r="F5" s="24">
        <f t="shared" ref="F5:F13" si="1">-(E5*0.56)</f>
        <v>-1182.72</v>
      </c>
      <c r="G5" s="10">
        <f t="shared" ref="G5:G13" si="2">E5+F5</f>
        <v>929.28</v>
      </c>
      <c r="H5" s="10">
        <f t="shared" ref="H5:H15" si="3">ROUND(G5,-2)</f>
        <v>900</v>
      </c>
    </row>
    <row r="6" spans="1:10" x14ac:dyDescent="0.3">
      <c r="A6" t="s">
        <v>49</v>
      </c>
      <c r="B6" s="10">
        <f>'Electrcity Entry Form'!E5</f>
        <v>299680</v>
      </c>
      <c r="C6" s="24">
        <v>0</v>
      </c>
      <c r="D6" s="24">
        <f>-'Renewable Electricity'!U11*72%</f>
        <v>-146649.60000000001</v>
      </c>
      <c r="E6" s="24">
        <f t="shared" si="0"/>
        <v>153030.39999999999</v>
      </c>
      <c r="F6" s="24">
        <f t="shared" si="1"/>
        <v>-85697.024000000005</v>
      </c>
      <c r="G6" s="10">
        <f t="shared" si="2"/>
        <v>67333.375999999989</v>
      </c>
      <c r="H6" s="10">
        <f t="shared" si="3"/>
        <v>67300</v>
      </c>
    </row>
    <row r="7" spans="1:10" x14ac:dyDescent="0.3">
      <c r="A7" s="7" t="s">
        <v>19</v>
      </c>
      <c r="B7" s="10">
        <f>'Electrcity Entry Form'!E7</f>
        <v>11002</v>
      </c>
      <c r="C7" s="24">
        <f>-'Renewable Electricity'!U4</f>
        <v>-10080</v>
      </c>
      <c r="D7" s="24"/>
      <c r="E7" s="24">
        <f t="shared" si="0"/>
        <v>922</v>
      </c>
      <c r="F7" s="24">
        <f t="shared" si="1"/>
        <v>-516.32000000000005</v>
      </c>
      <c r="G7" s="10">
        <f t="shared" si="2"/>
        <v>405.67999999999995</v>
      </c>
      <c r="H7" s="10">
        <f t="shared" si="3"/>
        <v>400</v>
      </c>
    </row>
    <row r="8" spans="1:10" x14ac:dyDescent="0.3">
      <c r="A8" t="s">
        <v>18</v>
      </c>
      <c r="B8" s="10">
        <f>'Electrcity Entry Form'!E8</f>
        <v>56880</v>
      </c>
      <c r="C8" s="24">
        <f>-'Renewable Electricity'!U5</f>
        <v>-53160</v>
      </c>
      <c r="D8" s="24"/>
      <c r="E8" s="24">
        <f t="shared" si="0"/>
        <v>3720</v>
      </c>
      <c r="F8" s="24">
        <f t="shared" si="1"/>
        <v>-2083.2000000000003</v>
      </c>
      <c r="G8" s="10">
        <f t="shared" si="2"/>
        <v>1636.7999999999997</v>
      </c>
      <c r="H8" s="10">
        <f t="shared" si="3"/>
        <v>1600</v>
      </c>
    </row>
    <row r="9" spans="1:10" x14ac:dyDescent="0.3">
      <c r="A9" t="s">
        <v>56</v>
      </c>
      <c r="B9" s="10">
        <f>'Electrcity Entry Form'!E9</f>
        <v>1789</v>
      </c>
      <c r="C9" s="24">
        <v>0</v>
      </c>
      <c r="D9" s="24"/>
      <c r="E9" s="24">
        <f t="shared" si="0"/>
        <v>1789</v>
      </c>
      <c r="F9" s="24">
        <f t="shared" si="1"/>
        <v>-1001.8400000000001</v>
      </c>
      <c r="G9" s="10">
        <f t="shared" si="2"/>
        <v>787.15999999999985</v>
      </c>
      <c r="H9" s="10">
        <f t="shared" si="3"/>
        <v>800</v>
      </c>
    </row>
    <row r="10" spans="1:10" x14ac:dyDescent="0.3">
      <c r="A10" t="s">
        <v>57</v>
      </c>
      <c r="B10" s="10">
        <f>'Electrcity Entry Form'!E10</f>
        <v>5527</v>
      </c>
      <c r="C10" s="24">
        <v>0</v>
      </c>
      <c r="D10" s="24"/>
      <c r="E10" s="24">
        <f t="shared" si="0"/>
        <v>5527</v>
      </c>
      <c r="F10" s="24">
        <f t="shared" si="1"/>
        <v>-3095.1200000000003</v>
      </c>
      <c r="G10" s="10">
        <f t="shared" si="2"/>
        <v>2431.8799999999997</v>
      </c>
      <c r="H10" s="10">
        <f t="shared" si="3"/>
        <v>2400</v>
      </c>
    </row>
    <row r="11" spans="1:10" x14ac:dyDescent="0.3">
      <c r="A11" s="7" t="s">
        <v>26</v>
      </c>
      <c r="B11" s="23">
        <f>'Electrcity Entry Form'!E11</f>
        <v>2070</v>
      </c>
      <c r="C11" s="24">
        <v>0</v>
      </c>
      <c r="D11" s="24"/>
      <c r="E11" s="24">
        <f t="shared" si="0"/>
        <v>2070</v>
      </c>
      <c r="F11" s="24">
        <f t="shared" si="1"/>
        <v>-1159.2</v>
      </c>
      <c r="G11" s="10">
        <f t="shared" si="2"/>
        <v>910.8</v>
      </c>
      <c r="H11" s="10">
        <f t="shared" si="3"/>
        <v>900</v>
      </c>
    </row>
    <row r="12" spans="1:10" x14ac:dyDescent="0.3">
      <c r="A12" s="7" t="s">
        <v>58</v>
      </c>
      <c r="B12" s="10">
        <f>'Electrcity Entry Form'!E13</f>
        <v>549840</v>
      </c>
      <c r="C12" s="24">
        <f>-'Renewable Electricity'!U8</f>
        <v>-133680</v>
      </c>
      <c r="D12" s="24">
        <f>-'Renewable Electricity'!U11*28%</f>
        <v>-57030.400000000009</v>
      </c>
      <c r="E12" s="24">
        <f t="shared" si="0"/>
        <v>359129.59999999998</v>
      </c>
      <c r="F12" s="24">
        <f t="shared" si="1"/>
        <v>-201112.576</v>
      </c>
      <c r="G12" s="10">
        <f t="shared" si="2"/>
        <v>158017.02399999998</v>
      </c>
      <c r="H12" s="10">
        <f t="shared" si="3"/>
        <v>158000</v>
      </c>
    </row>
    <row r="13" spans="1:10" x14ac:dyDescent="0.3">
      <c r="A13" s="7" t="s">
        <v>22</v>
      </c>
      <c r="B13" s="10">
        <f>'Electrcity Entry Form'!E14</f>
        <v>5895</v>
      </c>
      <c r="C13" s="24">
        <v>0</v>
      </c>
      <c r="D13" s="24"/>
      <c r="E13" s="24">
        <f t="shared" si="0"/>
        <v>5895</v>
      </c>
      <c r="F13" s="24">
        <f t="shared" si="1"/>
        <v>-3301.2000000000003</v>
      </c>
      <c r="G13" s="10">
        <f t="shared" si="2"/>
        <v>2593.7999999999997</v>
      </c>
      <c r="H13" s="10">
        <f t="shared" si="3"/>
        <v>2600</v>
      </c>
    </row>
    <row r="14" spans="1:10" x14ac:dyDescent="0.3">
      <c r="A14" s="7" t="s">
        <v>190</v>
      </c>
      <c r="B14" s="10">
        <f>SUM(B4:B13)</f>
        <v>950226</v>
      </c>
      <c r="C14" s="24">
        <f>SUM(C4:C13)</f>
        <v>-196920</v>
      </c>
      <c r="D14" s="24">
        <f>SUM(D4:D13)</f>
        <v>-203680</v>
      </c>
      <c r="E14" s="24">
        <f>SUM(E4:E13)</f>
        <v>549626</v>
      </c>
      <c r="F14" s="24">
        <f>SUM(F4:F13)</f>
        <v>-307790.56</v>
      </c>
      <c r="G14" s="10">
        <f t="shared" ref="G14:H14" si="4">SUM(G4:G13)</f>
        <v>241835.43999999994</v>
      </c>
      <c r="H14" s="10">
        <f t="shared" si="4"/>
        <v>241700</v>
      </c>
      <c r="I14" s="2">
        <f>G14/B14</f>
        <v>0.25450307611031475</v>
      </c>
      <c r="J14" s="2">
        <f>-(C14+D14+F14)/B14</f>
        <v>0.74549692388968525</v>
      </c>
    </row>
    <row r="15" spans="1:10" x14ac:dyDescent="0.3">
      <c r="A15" s="182" t="s">
        <v>173</v>
      </c>
      <c r="B15" s="182"/>
      <c r="C15" s="182"/>
      <c r="D15" s="182"/>
      <c r="E15" s="182"/>
      <c r="F15" s="24"/>
      <c r="G15" s="10">
        <v>0</v>
      </c>
      <c r="H15" s="10">
        <f t="shared" si="3"/>
        <v>0</v>
      </c>
    </row>
    <row r="16" spans="1:10" x14ac:dyDescent="0.3">
      <c r="A16" s="182" t="s">
        <v>174</v>
      </c>
      <c r="B16" s="182"/>
      <c r="C16" s="182"/>
      <c r="D16" s="182"/>
      <c r="E16" s="182"/>
      <c r="F16" s="24"/>
      <c r="G16" s="10"/>
      <c r="H16" s="10">
        <f>H14</f>
        <v>241700</v>
      </c>
    </row>
    <row r="17" spans="1:9" ht="18" customHeight="1" x14ac:dyDescent="0.3">
      <c r="A17" s="182" t="s">
        <v>123</v>
      </c>
      <c r="B17" s="182"/>
      <c r="C17" s="182"/>
      <c r="D17" s="182"/>
      <c r="E17" s="182"/>
      <c r="H17" s="26">
        <f>(H16/100)*0.59</f>
        <v>1426.03</v>
      </c>
    </row>
    <row r="19" spans="1:9" ht="15.6" x14ac:dyDescent="0.3">
      <c r="A19" s="174" t="s">
        <v>128</v>
      </c>
      <c r="B19" s="174"/>
      <c r="C19" s="174"/>
      <c r="D19" s="174"/>
      <c r="E19" s="174"/>
      <c r="F19" s="174"/>
      <c r="G19" s="174"/>
      <c r="H19" s="174"/>
    </row>
    <row r="20" spans="1:9" ht="57.6" x14ac:dyDescent="0.3">
      <c r="A20" t="s">
        <v>8</v>
      </c>
      <c r="B20" s="3" t="s">
        <v>120</v>
      </c>
      <c r="C20" s="3" t="s">
        <v>129</v>
      </c>
      <c r="D20" s="3" t="s">
        <v>130</v>
      </c>
      <c r="E20" s="3" t="s">
        <v>121</v>
      </c>
      <c r="F20" s="3" t="s">
        <v>132</v>
      </c>
      <c r="G20" s="3" t="s">
        <v>131</v>
      </c>
      <c r="H20" s="3" t="s">
        <v>122</v>
      </c>
    </row>
    <row r="21" spans="1:9" x14ac:dyDescent="0.3">
      <c r="A21" t="s">
        <v>48</v>
      </c>
      <c r="B21" s="10">
        <f>'Electrcity Entry Form'!E6</f>
        <v>183</v>
      </c>
      <c r="C21">
        <v>0</v>
      </c>
      <c r="E21" s="10">
        <f t="shared" ref="E21:E22" si="5">SUM(B21:D21)</f>
        <v>183</v>
      </c>
      <c r="F21" s="24">
        <f>-(E21*0.24)</f>
        <v>-43.92</v>
      </c>
      <c r="G21" s="10">
        <f t="shared" ref="G21:G22" si="6">SUM(E21:F21)</f>
        <v>139.07999999999998</v>
      </c>
      <c r="H21" s="10">
        <f t="shared" ref="H21:H22" si="7">ROUND(G21,-2)</f>
        <v>100</v>
      </c>
    </row>
    <row r="22" spans="1:9" x14ac:dyDescent="0.3">
      <c r="A22" t="s">
        <v>86</v>
      </c>
      <c r="B22" s="10">
        <f>'Renewable Electricity'!J10</f>
        <v>13257.284374999999</v>
      </c>
      <c r="C22">
        <v>0</v>
      </c>
      <c r="D22" s="24">
        <f>-'Renewable Electricity'!U10</f>
        <v>-4588.2843750000002</v>
      </c>
      <c r="E22" s="10">
        <f t="shared" si="5"/>
        <v>8669</v>
      </c>
      <c r="F22" s="24">
        <f t="shared" ref="F22" si="8">-(E22*0.24)</f>
        <v>-2080.56</v>
      </c>
      <c r="G22" s="10">
        <f t="shared" si="6"/>
        <v>6588.4400000000005</v>
      </c>
      <c r="H22" s="10">
        <f t="shared" si="7"/>
        <v>6600</v>
      </c>
    </row>
    <row r="23" spans="1:9" x14ac:dyDescent="0.3">
      <c r="A23" t="s">
        <v>191</v>
      </c>
      <c r="B23" s="10">
        <f t="shared" ref="B23:H23" si="9">SUM(B21:B22)</f>
        <v>13440.284374999999</v>
      </c>
      <c r="C23" s="10">
        <f t="shared" si="9"/>
        <v>0</v>
      </c>
      <c r="D23" s="24">
        <f t="shared" si="9"/>
        <v>-4588.2843750000002</v>
      </c>
      <c r="E23" s="10">
        <f t="shared" si="9"/>
        <v>8852</v>
      </c>
      <c r="F23" s="24">
        <f t="shared" si="9"/>
        <v>-2124.48</v>
      </c>
      <c r="G23" s="24">
        <f t="shared" si="9"/>
        <v>6727.52</v>
      </c>
      <c r="H23" s="10">
        <f t="shared" si="9"/>
        <v>6700</v>
      </c>
    </row>
    <row r="24" spans="1:9" x14ac:dyDescent="0.3">
      <c r="A24" s="171" t="s">
        <v>141</v>
      </c>
      <c r="B24" s="171"/>
      <c r="C24" s="171"/>
      <c r="D24" s="171"/>
      <c r="E24" s="171"/>
      <c r="H24" s="26">
        <f>H23/100</f>
        <v>67</v>
      </c>
    </row>
    <row r="25" spans="1:9" x14ac:dyDescent="0.3">
      <c r="A25" s="30"/>
      <c r="B25" s="30"/>
      <c r="C25" s="30"/>
      <c r="D25" s="30"/>
      <c r="E25" s="30"/>
      <c r="H25" s="26"/>
    </row>
    <row r="26" spans="1:9" x14ac:dyDescent="0.3">
      <c r="A26" s="7" t="s">
        <v>24</v>
      </c>
      <c r="B26" s="10">
        <f>'Electrcity Entry Form'!E12</f>
        <v>13038.397328881469</v>
      </c>
      <c r="C26">
        <v>0</v>
      </c>
      <c r="E26" s="10">
        <f>SUM(B26:D26)</f>
        <v>13038.397328881469</v>
      </c>
      <c r="F26" s="24">
        <f>-(E26*0.24)</f>
        <v>-3129.2153589315521</v>
      </c>
      <c r="G26" s="10">
        <f>SUM(E26:F26)</f>
        <v>9909.1819699499174</v>
      </c>
      <c r="H26" s="10">
        <f t="shared" ref="H26" si="10">ROUND(G26,-2)</f>
        <v>9900</v>
      </c>
    </row>
    <row r="27" spans="1:9" ht="16.2" customHeight="1" x14ac:dyDescent="0.3">
      <c r="A27" s="182" t="s">
        <v>192</v>
      </c>
      <c r="B27" s="182"/>
      <c r="C27" s="182"/>
      <c r="D27" s="182"/>
      <c r="E27" s="182"/>
      <c r="F27" s="24"/>
      <c r="G27" s="10"/>
      <c r="H27" s="26">
        <f>(H26/100)*1.5</f>
        <v>148.5</v>
      </c>
    </row>
    <row r="28" spans="1:9" x14ac:dyDescent="0.3">
      <c r="A28" s="7"/>
      <c r="B28" s="10"/>
      <c r="E28" s="10"/>
      <c r="F28" s="24"/>
      <c r="G28" s="10"/>
      <c r="H28" s="10"/>
    </row>
    <row r="29" spans="1:9" x14ac:dyDescent="0.3">
      <c r="A29" t="s">
        <v>126</v>
      </c>
      <c r="B29" s="10">
        <f t="shared" ref="B29:G29" si="11">B14+B23+B26</f>
        <v>976704.68170388148</v>
      </c>
      <c r="C29" s="24">
        <f t="shared" si="11"/>
        <v>-196920</v>
      </c>
      <c r="D29" s="24">
        <f>D14+D23</f>
        <v>-208268.28437499999</v>
      </c>
      <c r="E29" s="10">
        <f t="shared" si="11"/>
        <v>571516.39732888143</v>
      </c>
      <c r="F29" s="24">
        <f t="shared" si="11"/>
        <v>-313044.25535893155</v>
      </c>
      <c r="G29" s="24">
        <f t="shared" si="11"/>
        <v>258472.14196994985</v>
      </c>
      <c r="H29" s="24">
        <f>H16+H23+H26</f>
        <v>258300</v>
      </c>
    </row>
    <row r="30" spans="1:9" x14ac:dyDescent="0.3">
      <c r="A30" t="s">
        <v>175</v>
      </c>
      <c r="B30" s="10">
        <f>'Renewable Electricity'!W13</f>
        <v>10300</v>
      </c>
      <c r="C30" s="24"/>
      <c r="D30" s="24"/>
      <c r="E30" s="10"/>
      <c r="F30" s="24"/>
      <c r="G30" s="24"/>
      <c r="H30" s="24"/>
    </row>
    <row r="31" spans="1:9" x14ac:dyDescent="0.3">
      <c r="A31" t="s">
        <v>239</v>
      </c>
      <c r="D31" s="24">
        <f>-D29-C29+B30</f>
        <v>415488.28437499999</v>
      </c>
      <c r="E31" s="29" t="s">
        <v>240</v>
      </c>
      <c r="H31" s="26">
        <f>H17+H24+H27</f>
        <v>1641.53</v>
      </c>
      <c r="I31" s="25"/>
    </row>
    <row r="32" spans="1:9" x14ac:dyDescent="0.3">
      <c r="A32" t="s">
        <v>176</v>
      </c>
      <c r="B32" s="10">
        <f>B30+B29</f>
        <v>987004.68170388148</v>
      </c>
      <c r="C32" s="29" t="s">
        <v>211</v>
      </c>
    </row>
  </sheetData>
  <mergeCells count="13">
    <mergeCell ref="A27:E27"/>
    <mergeCell ref="A1:H1"/>
    <mergeCell ref="A2:A3"/>
    <mergeCell ref="B2:B3"/>
    <mergeCell ref="C2:C3"/>
    <mergeCell ref="D2:D3"/>
    <mergeCell ref="F2:H2"/>
    <mergeCell ref="A17:E17"/>
    <mergeCell ref="A19:H19"/>
    <mergeCell ref="A24:E24"/>
    <mergeCell ref="E2:E3"/>
    <mergeCell ref="A15:E15"/>
    <mergeCell ref="A16:E16"/>
  </mergeCells>
  <printOptions gridLines="1"/>
  <pageMargins left="0.7" right="0.7" top="0.75" bottom="0.75" header="0.3" footer="0.3"/>
  <pageSetup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Summary</vt:lpstr>
      <vt:lpstr>Electrcity Entry Form</vt:lpstr>
      <vt:lpstr>Nat. Gas Summary</vt:lpstr>
      <vt:lpstr>Nat. Gas Entry Form</vt:lpstr>
      <vt:lpstr>Propane</vt:lpstr>
      <vt:lpstr>Fleet Fuel</vt:lpstr>
      <vt:lpstr>Renewable Electricity</vt:lpstr>
      <vt:lpstr>Renewable.Connect 2020</vt:lpstr>
      <vt:lpstr>Renewable.Connect 2019</vt:lpstr>
      <vt:lpstr>ChartCF</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Bailey</dc:creator>
  <cp:lastModifiedBy>William Bailey</cp:lastModifiedBy>
  <cp:lastPrinted>2021-03-04T14:38:28Z</cp:lastPrinted>
  <dcterms:created xsi:type="dcterms:W3CDTF">2020-01-22T12:06:34Z</dcterms:created>
  <dcterms:modified xsi:type="dcterms:W3CDTF">2021-03-10T01:05:39Z</dcterms:modified>
</cp:coreProperties>
</file>