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d.docs.live.net/cb9d7c92027400a3/Documents/Bayfield County/Energy Tracking/Energy Tracking Spreadsheets/"/>
    </mc:Choice>
  </mc:AlternateContent>
  <xr:revisionPtr revIDLastSave="79" documentId="8_{B69BACEF-0C1F-4CD7-B529-9E3265C34BF7}" xr6:coauthVersionLast="47" xr6:coauthVersionMax="47" xr10:uidLastSave="{41EF31AB-37B6-4907-928B-2F4A26FC6E8B}"/>
  <bookViews>
    <workbookView xWindow="-120" yWindow="-120" windowWidth="29040" windowHeight="15720" xr2:uid="{A2A2C2CA-BBFB-48CE-8E95-DB696B310400}"/>
  </bookViews>
  <sheets>
    <sheet name="Summary" sheetId="1" r:id="rId1"/>
    <sheet name="Electrcity Entry Form" sheetId="2" r:id="rId2"/>
    <sheet name="Nat. Gas Summary" sheetId="10" r:id="rId3"/>
    <sheet name="2020 Nat. Gas Entry Form" sheetId="13" r:id="rId4"/>
    <sheet name="2021 Nat. Gas Entry Form" sheetId="14" r:id="rId5"/>
    <sheet name="Nat. Gas Charts" sheetId="15" r:id="rId6"/>
    <sheet name="Propane" sheetId="8" r:id="rId7"/>
    <sheet name="Fleet Fuel" sheetId="4" r:id="rId8"/>
    <sheet name="Renewable Electricity" sheetId="7" r:id="rId9"/>
    <sheet name="Renewable.Connect 2021" sheetId="17" r:id="rId10"/>
    <sheet name="Renewable.Connect 2020" sheetId="12" r:id="rId11"/>
    <sheet name="Renewable.Connect 2019" sheetId="11" r:id="rId12"/>
    <sheet name="ChartCF" sheetId="9" r:id="rId13"/>
    <sheet name="Notes" sheetId="5" r:id="rId1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X10" i="1" l="1"/>
  <c r="W10" i="1"/>
  <c r="V10" i="1"/>
  <c r="X7" i="1"/>
  <c r="X3" i="1"/>
  <c r="W3" i="1"/>
  <c r="V3" i="1"/>
  <c r="W7" i="1"/>
  <c r="V7" i="1"/>
  <c r="T12" i="1"/>
  <c r="T10" i="1"/>
  <c r="T9" i="1"/>
  <c r="T7" i="1"/>
  <c r="T6" i="1"/>
  <c r="T5" i="1"/>
  <c r="T3" i="1"/>
  <c r="B56" i="7"/>
  <c r="C56" i="7"/>
  <c r="B25" i="10"/>
  <c r="B24" i="10"/>
  <c r="M6" i="1"/>
  <c r="R6" i="1" s="1"/>
  <c r="M5" i="1"/>
  <c r="R5" i="1" s="1"/>
  <c r="B6" i="1"/>
  <c r="H6" i="1" s="1"/>
  <c r="B5" i="1"/>
  <c r="H5" i="1" s="1"/>
  <c r="C12" i="4"/>
  <c r="B12" i="4"/>
  <c r="C7" i="4"/>
  <c r="L4" i="4"/>
  <c r="L3" i="4"/>
  <c r="C14" i="4"/>
  <c r="B14" i="4"/>
  <c r="C13" i="4"/>
  <c r="B13" i="4"/>
  <c r="B24" i="12"/>
  <c r="E24" i="12"/>
  <c r="F24" i="12"/>
  <c r="G24" i="12"/>
  <c r="B25" i="12"/>
  <c r="E25" i="12"/>
  <c r="F25" i="12"/>
  <c r="G25" i="12"/>
  <c r="G26" i="12"/>
  <c r="B29" i="12"/>
  <c r="E29" i="12"/>
  <c r="F29" i="12"/>
  <c r="G29" i="12"/>
  <c r="P38" i="9"/>
  <c r="D30" i="7"/>
  <c r="P34" i="9"/>
  <c r="D31" i="7"/>
  <c r="D33" i="7"/>
  <c r="P35" i="9"/>
  <c r="P40" i="9" s="1"/>
  <c r="B4" i="12"/>
  <c r="F4" i="12"/>
  <c r="G4" i="12"/>
  <c r="B5" i="12"/>
  <c r="F5" i="12"/>
  <c r="G5" i="12"/>
  <c r="B6" i="12"/>
  <c r="D6" i="12"/>
  <c r="F6" i="12"/>
  <c r="G6" i="12"/>
  <c r="B7" i="12"/>
  <c r="F7" i="12"/>
  <c r="G7" i="12"/>
  <c r="B8" i="12"/>
  <c r="F8" i="12"/>
  <c r="G8" i="12"/>
  <c r="B9" i="12"/>
  <c r="F9" i="12"/>
  <c r="G9" i="12"/>
  <c r="B10" i="12"/>
  <c r="F10" i="12"/>
  <c r="G10" i="12"/>
  <c r="B11" i="12"/>
  <c r="F11" i="12"/>
  <c r="G11" i="12"/>
  <c r="B12" i="12"/>
  <c r="D12" i="12"/>
  <c r="F12" i="12"/>
  <c r="G12" i="12"/>
  <c r="B13" i="12"/>
  <c r="F13" i="12"/>
  <c r="G13" i="12"/>
  <c r="B14" i="12"/>
  <c r="F14" i="12"/>
  <c r="G14" i="12"/>
  <c r="B15" i="12"/>
  <c r="F15" i="12"/>
  <c r="G15" i="12"/>
  <c r="B16" i="12"/>
  <c r="F16" i="12"/>
  <c r="G16" i="12"/>
  <c r="G17" i="12"/>
  <c r="F26" i="12"/>
  <c r="F34" i="12"/>
  <c r="P36" i="9"/>
  <c r="H4" i="12"/>
  <c r="H5" i="12"/>
  <c r="H6" i="12"/>
  <c r="H7" i="12"/>
  <c r="H8" i="12"/>
  <c r="H9" i="12"/>
  <c r="H10" i="12"/>
  <c r="H11" i="12"/>
  <c r="H12" i="12"/>
  <c r="H13" i="12"/>
  <c r="H14" i="12"/>
  <c r="H15" i="12"/>
  <c r="H16" i="12"/>
  <c r="H17" i="12"/>
  <c r="P37" i="9"/>
  <c r="D34" i="7"/>
  <c r="B35" i="12"/>
  <c r="B17" i="12"/>
  <c r="B26" i="12"/>
  <c r="B34" i="12"/>
  <c r="B37" i="12"/>
  <c r="P42" i="9"/>
  <c r="B10" i="17"/>
  <c r="F10" i="17"/>
  <c r="G10" i="17"/>
  <c r="D10" i="7"/>
  <c r="P4" i="9"/>
  <c r="J8" i="17"/>
  <c r="D14" i="7"/>
  <c r="B36" i="17"/>
  <c r="B30" i="17"/>
  <c r="E30" i="17"/>
  <c r="F30" i="17"/>
  <c r="G30" i="17"/>
  <c r="H30" i="17"/>
  <c r="H31" i="17"/>
  <c r="C27" i="17"/>
  <c r="B26" i="17"/>
  <c r="D25" i="17"/>
  <c r="D27" i="17"/>
  <c r="B25" i="17"/>
  <c r="E25" i="17"/>
  <c r="B24" i="17"/>
  <c r="E24" i="17"/>
  <c r="B16" i="17"/>
  <c r="F16" i="17"/>
  <c r="B15" i="17"/>
  <c r="F15" i="17" s="1"/>
  <c r="B14" i="17"/>
  <c r="F14" i="17" s="1"/>
  <c r="B13" i="17"/>
  <c r="F13" i="17"/>
  <c r="G13" i="17"/>
  <c r="H13" i="17"/>
  <c r="I13" i="17"/>
  <c r="J13" i="17"/>
  <c r="D12" i="17"/>
  <c r="C12" i="17"/>
  <c r="B12" i="17"/>
  <c r="B11" i="17"/>
  <c r="F11" i="17"/>
  <c r="G11" i="17"/>
  <c r="C7" i="7"/>
  <c r="G7" i="7"/>
  <c r="E10" i="17"/>
  <c r="C10" i="17"/>
  <c r="B9" i="17"/>
  <c r="E9" i="17"/>
  <c r="G6" i="7"/>
  <c r="E8" i="17"/>
  <c r="C8" i="17"/>
  <c r="B8" i="17"/>
  <c r="F8" i="17"/>
  <c r="G8" i="17"/>
  <c r="C5" i="7"/>
  <c r="E7" i="17"/>
  <c r="C7" i="17"/>
  <c r="B7" i="17"/>
  <c r="F7" i="17"/>
  <c r="G7" i="17"/>
  <c r="D6" i="17"/>
  <c r="B6" i="17"/>
  <c r="F6" i="17"/>
  <c r="B5" i="17"/>
  <c r="F5" i="17"/>
  <c r="B4" i="17"/>
  <c r="F4" i="17"/>
  <c r="G4" i="17" s="1"/>
  <c r="D13" i="7"/>
  <c r="P5" i="9"/>
  <c r="F12" i="17"/>
  <c r="G12" i="17"/>
  <c r="H12" i="17"/>
  <c r="I12" i="17"/>
  <c r="J12" i="17"/>
  <c r="E13" i="17"/>
  <c r="E16" i="17"/>
  <c r="E11" i="17"/>
  <c r="B27" i="17"/>
  <c r="E6" i="17"/>
  <c r="D17" i="17"/>
  <c r="D35" i="17"/>
  <c r="R5" i="17"/>
  <c r="C17" i="17"/>
  <c r="H10" i="17"/>
  <c r="H8" i="17"/>
  <c r="F24" i="17"/>
  <c r="E27" i="17"/>
  <c r="F25" i="17"/>
  <c r="G25" i="17"/>
  <c r="H25" i="17"/>
  <c r="G5" i="17"/>
  <c r="H5" i="17"/>
  <c r="I5" i="17"/>
  <c r="J5" i="17"/>
  <c r="H7" i="17"/>
  <c r="I7" i="17"/>
  <c r="J7" i="17"/>
  <c r="E26" i="17"/>
  <c r="H11" i="17"/>
  <c r="I11" i="17"/>
  <c r="J11" i="17"/>
  <c r="F9" i="17"/>
  <c r="E14" i="17"/>
  <c r="E5" i="17"/>
  <c r="E4" i="17"/>
  <c r="G6" i="17"/>
  <c r="H6" i="17"/>
  <c r="I6" i="17"/>
  <c r="J6" i="17"/>
  <c r="G16" i="17"/>
  <c r="H16" i="17"/>
  <c r="I16" i="17"/>
  <c r="J16" i="17"/>
  <c r="E12" i="17"/>
  <c r="I10" i="17"/>
  <c r="J10" i="17"/>
  <c r="C35" i="17"/>
  <c r="F27" i="17"/>
  <c r="F26" i="17"/>
  <c r="G26" i="17"/>
  <c r="H26" i="17"/>
  <c r="G24" i="17"/>
  <c r="G9" i="17"/>
  <c r="H9" i="17"/>
  <c r="I9" i="17"/>
  <c r="J9" i="17"/>
  <c r="D37" i="17"/>
  <c r="R4" i="17"/>
  <c r="G27" i="17"/>
  <c r="H24" i="17"/>
  <c r="H27" i="17"/>
  <c r="H28" i="17"/>
  <c r="N8" i="14"/>
  <c r="B5" i="10"/>
  <c r="N4" i="14"/>
  <c r="B6" i="10"/>
  <c r="B18" i="10" s="1"/>
  <c r="N5" i="14"/>
  <c r="B7" i="10"/>
  <c r="N10" i="14"/>
  <c r="B9" i="10"/>
  <c r="N6" i="14"/>
  <c r="B12" i="10"/>
  <c r="N9" i="14"/>
  <c r="B13" i="10"/>
  <c r="B16" i="10"/>
  <c r="B19" i="4"/>
  <c r="B10" i="4"/>
  <c r="B17" i="10"/>
  <c r="B7" i="1"/>
  <c r="H7" i="1"/>
  <c r="C21" i="2"/>
  <c r="C23" i="2"/>
  <c r="B3" i="1"/>
  <c r="H3" i="1" s="1"/>
  <c r="B10" i="1"/>
  <c r="H10" i="1" s="1"/>
  <c r="F17" i="10"/>
  <c r="F18" i="10"/>
  <c r="D9" i="1" s="1"/>
  <c r="J9" i="1" s="1"/>
  <c r="H16" i="13"/>
  <c r="D5" i="10"/>
  <c r="B16" i="13"/>
  <c r="D7" i="10"/>
  <c r="L16" i="13"/>
  <c r="D9" i="10"/>
  <c r="D16" i="13"/>
  <c r="D12" i="10"/>
  <c r="J16" i="13"/>
  <c r="D13" i="10"/>
  <c r="F4" i="13"/>
  <c r="F5" i="13"/>
  <c r="F6" i="13"/>
  <c r="F7" i="13"/>
  <c r="F8" i="13"/>
  <c r="F9" i="13"/>
  <c r="F10" i="13"/>
  <c r="F11" i="13"/>
  <c r="F12" i="13"/>
  <c r="F13" i="13"/>
  <c r="F14" i="13"/>
  <c r="F15" i="13"/>
  <c r="F16" i="13"/>
  <c r="D16" i="10"/>
  <c r="D10" i="4"/>
  <c r="D17" i="10"/>
  <c r="D18" i="10"/>
  <c r="C23" i="10" s="1"/>
  <c r="H15" i="7"/>
  <c r="D22" i="2"/>
  <c r="D23" i="2"/>
  <c r="M3" i="1" s="1"/>
  <c r="P8" i="9"/>
  <c r="R8" i="17"/>
  <c r="M10" i="1"/>
  <c r="R10" i="1" s="1"/>
  <c r="Q10" i="1"/>
  <c r="K12" i="4"/>
  <c r="Q6" i="1"/>
  <c r="S6" i="1" s="1"/>
  <c r="P4" i="4"/>
  <c r="K7" i="4"/>
  <c r="K13" i="4"/>
  <c r="Q5" i="1"/>
  <c r="C16" i="10"/>
  <c r="N12" i="7"/>
  <c r="E47" i="7"/>
  <c r="B4" i="8"/>
  <c r="M21" i="14"/>
  <c r="L21" i="14"/>
  <c r="K21" i="14"/>
  <c r="J21" i="14"/>
  <c r="I21" i="14"/>
  <c r="H21" i="14"/>
  <c r="G21" i="14"/>
  <c r="F21" i="14"/>
  <c r="E21" i="14"/>
  <c r="D21" i="14"/>
  <c r="C21" i="14"/>
  <c r="B21" i="14"/>
  <c r="N14" i="14"/>
  <c r="C6" i="10"/>
  <c r="K11" i="7"/>
  <c r="K12" i="7"/>
  <c r="K8" i="7"/>
  <c r="K5" i="7"/>
  <c r="B49" i="7"/>
  <c r="B46" i="7"/>
  <c r="B33" i="7"/>
  <c r="B30" i="7"/>
  <c r="C17" i="1"/>
  <c r="F17" i="1"/>
  <c r="F19" i="1" s="1"/>
  <c r="J12" i="7"/>
  <c r="J11" i="7"/>
  <c r="N11" i="7"/>
  <c r="J9" i="7"/>
  <c r="J8" i="7"/>
  <c r="J7" i="7"/>
  <c r="J6" i="7"/>
  <c r="J5" i="7"/>
  <c r="B13" i="7"/>
  <c r="B10" i="7"/>
  <c r="G11" i="7"/>
  <c r="G8" i="7"/>
  <c r="K6" i="7"/>
  <c r="K9" i="7"/>
  <c r="C6" i="7"/>
  <c r="C9" i="7"/>
  <c r="G9" i="7"/>
  <c r="B52" i="7"/>
  <c r="C16" i="7"/>
  <c r="B36" i="7"/>
  <c r="J10" i="7"/>
  <c r="B16" i="7"/>
  <c r="J13" i="7"/>
  <c r="H17" i="1"/>
  <c r="H19" i="1" s="1"/>
  <c r="J16" i="7"/>
  <c r="H16" i="1"/>
  <c r="D30" i="2"/>
  <c r="M30" i="2"/>
  <c r="C30" i="2"/>
  <c r="D29" i="2"/>
  <c r="M29" i="2"/>
  <c r="C29" i="2"/>
  <c r="M56" i="14"/>
  <c r="L56" i="14"/>
  <c r="K56" i="14"/>
  <c r="J56" i="14"/>
  <c r="I56" i="14"/>
  <c r="H56" i="14"/>
  <c r="G56" i="14"/>
  <c r="F56" i="14"/>
  <c r="E56" i="14"/>
  <c r="D56" i="14"/>
  <c r="C56" i="14"/>
  <c r="B56" i="14"/>
  <c r="N53" i="14"/>
  <c r="N52" i="14"/>
  <c r="N49" i="14"/>
  <c r="N48" i="14"/>
  <c r="N47" i="14"/>
  <c r="C10" i="4"/>
  <c r="N44" i="14"/>
  <c r="N43" i="14"/>
  <c r="N42" i="14"/>
  <c r="M39" i="14"/>
  <c r="L39" i="14"/>
  <c r="K39" i="14"/>
  <c r="J39" i="14"/>
  <c r="I39" i="14"/>
  <c r="H39" i="14"/>
  <c r="G39" i="14"/>
  <c r="F39" i="14"/>
  <c r="E39" i="14"/>
  <c r="D39" i="14"/>
  <c r="C39" i="14"/>
  <c r="B39" i="14"/>
  <c r="N38" i="14"/>
  <c r="N37" i="14"/>
  <c r="N36" i="14"/>
  <c r="N35" i="14"/>
  <c r="N34" i="14"/>
  <c r="N33" i="14"/>
  <c r="M30" i="14"/>
  <c r="L30" i="14"/>
  <c r="K30" i="14"/>
  <c r="J30" i="14"/>
  <c r="I30" i="14"/>
  <c r="H30" i="14"/>
  <c r="G30" i="14"/>
  <c r="F30" i="14"/>
  <c r="E30" i="14"/>
  <c r="D30" i="14"/>
  <c r="C30" i="14"/>
  <c r="B30" i="14"/>
  <c r="N29" i="14"/>
  <c r="N28" i="14"/>
  <c r="N27" i="14"/>
  <c r="N25" i="14"/>
  <c r="N24" i="14"/>
  <c r="N20" i="14"/>
  <c r="N19" i="14"/>
  <c r="C13" i="10"/>
  <c r="N18" i="14"/>
  <c r="C5" i="10"/>
  <c r="C18" i="10" s="1"/>
  <c r="M9" i="1" s="1"/>
  <c r="N16" i="14"/>
  <c r="C12" i="10"/>
  <c r="N15" i="14"/>
  <c r="M11" i="14"/>
  <c r="L11" i="14"/>
  <c r="K11" i="14"/>
  <c r="J11" i="14"/>
  <c r="I11" i="14"/>
  <c r="H11" i="14"/>
  <c r="G11" i="14"/>
  <c r="F11" i="14"/>
  <c r="E11" i="14"/>
  <c r="D11" i="14"/>
  <c r="C11" i="14"/>
  <c r="B11" i="14"/>
  <c r="B32" i="13"/>
  <c r="K7" i="7"/>
  <c r="B57" i="7"/>
  <c r="C57" i="7"/>
  <c r="M7" i="1"/>
  <c r="R7" i="1" s="1"/>
  <c r="C17" i="10"/>
  <c r="C9" i="10"/>
  <c r="N21" i="14"/>
  <c r="N11" i="14"/>
  <c r="G57" i="7"/>
  <c r="N30" i="14"/>
  <c r="N39" i="14"/>
  <c r="N56" i="14"/>
  <c r="C7" i="10"/>
  <c r="K10" i="4"/>
  <c r="K17" i="10"/>
  <c r="K18" i="10"/>
  <c r="Q9" i="1" s="1"/>
  <c r="Q12" i="1" s="1"/>
  <c r="N10" i="7"/>
  <c r="N14" i="7"/>
  <c r="C16" i="1"/>
  <c r="F16" i="1"/>
  <c r="I10" i="7"/>
  <c r="Q7" i="1"/>
  <c r="D16" i="7"/>
  <c r="G16" i="7"/>
  <c r="F28" i="7"/>
  <c r="C31" i="7"/>
  <c r="C29" i="7"/>
  <c r="F29" i="7"/>
  <c r="C27" i="7"/>
  <c r="F27" i="7"/>
  <c r="C26" i="7"/>
  <c r="F26" i="7"/>
  <c r="E8" i="12"/>
  <c r="C25" i="7"/>
  <c r="F25" i="7"/>
  <c r="E7" i="12"/>
  <c r="I32" i="7"/>
  <c r="I29" i="7"/>
  <c r="I28" i="7"/>
  <c r="I27" i="7"/>
  <c r="I26" i="7"/>
  <c r="I25" i="7"/>
  <c r="F30" i="13"/>
  <c r="F29" i="13"/>
  <c r="F28" i="13"/>
  <c r="F27" i="13"/>
  <c r="F23" i="13"/>
  <c r="F22" i="13"/>
  <c r="F21" i="13"/>
  <c r="F20" i="13"/>
  <c r="F19" i="13"/>
  <c r="D32" i="13"/>
  <c r="C32" i="13"/>
  <c r="I27" i="13"/>
  <c r="I23" i="13"/>
  <c r="I30" i="13"/>
  <c r="I29" i="13"/>
  <c r="I28" i="13"/>
  <c r="I22" i="13"/>
  <c r="I21" i="13"/>
  <c r="I20" i="13"/>
  <c r="I19" i="13"/>
  <c r="H31" i="13"/>
  <c r="G31" i="13"/>
  <c r="C19" i="1"/>
  <c r="F32" i="13"/>
  <c r="I31" i="13"/>
  <c r="M16" i="13"/>
  <c r="E9" i="10"/>
  <c r="K16" i="13"/>
  <c r="E13" i="10"/>
  <c r="I16" i="13"/>
  <c r="E5" i="10"/>
  <c r="E18" i="10" s="1"/>
  <c r="N9" i="1" s="1"/>
  <c r="S9" i="1" s="1"/>
  <c r="G16" i="13"/>
  <c r="E16" i="10"/>
  <c r="E16" i="13"/>
  <c r="E12" i="10"/>
  <c r="C16" i="13"/>
  <c r="E7" i="10"/>
  <c r="I16" i="12"/>
  <c r="F23" i="2"/>
  <c r="B18" i="4"/>
  <c r="E16" i="12"/>
  <c r="N10" i="1"/>
  <c r="S10" i="1" s="1"/>
  <c r="C4" i="8"/>
  <c r="M4" i="4"/>
  <c r="E7" i="4" s="1"/>
  <c r="E13" i="4" s="1"/>
  <c r="M3" i="4"/>
  <c r="G56" i="7"/>
  <c r="L46" i="7" s="1"/>
  <c r="C12" i="12"/>
  <c r="C10" i="12"/>
  <c r="C8" i="12"/>
  <c r="C7" i="12"/>
  <c r="C26" i="12"/>
  <c r="D17" i="12"/>
  <c r="C17" i="12"/>
  <c r="E4" i="12"/>
  <c r="I8" i="12"/>
  <c r="I12" i="12"/>
  <c r="E12" i="12"/>
  <c r="E15" i="12"/>
  <c r="I5" i="12"/>
  <c r="E5" i="12"/>
  <c r="I9" i="12"/>
  <c r="E9" i="12"/>
  <c r="I13" i="12"/>
  <c r="E13" i="12"/>
  <c r="E6" i="12"/>
  <c r="E10" i="12"/>
  <c r="I7" i="12"/>
  <c r="E11" i="12"/>
  <c r="I11" i="12"/>
  <c r="E14" i="12"/>
  <c r="H24" i="12"/>
  <c r="I10" i="12"/>
  <c r="H29" i="12"/>
  <c r="H30" i="12"/>
  <c r="J13" i="4"/>
  <c r="H13" i="4"/>
  <c r="F13" i="4"/>
  <c r="E30" i="2"/>
  <c r="E29" i="2"/>
  <c r="F30" i="2"/>
  <c r="F29" i="2"/>
  <c r="E17" i="12"/>
  <c r="F17" i="12"/>
  <c r="I15" i="12"/>
  <c r="I14" i="12"/>
  <c r="E26" i="12"/>
  <c r="C34" i="12"/>
  <c r="C46" i="7"/>
  <c r="C48" i="7"/>
  <c r="C49" i="7"/>
  <c r="C52" i="7"/>
  <c r="E48" i="7"/>
  <c r="H25" i="12"/>
  <c r="H26" i="12"/>
  <c r="H27" i="12"/>
  <c r="H32" i="7"/>
  <c r="H29" i="7"/>
  <c r="H28" i="7"/>
  <c r="H27" i="7"/>
  <c r="H26" i="7"/>
  <c r="H25" i="7"/>
  <c r="K17" i="12"/>
  <c r="I6" i="12"/>
  <c r="H30" i="7"/>
  <c r="I16" i="1"/>
  <c r="I19" i="1" s="1"/>
  <c r="I4" i="12"/>
  <c r="D16" i="1"/>
  <c r="G16" i="1"/>
  <c r="I31" i="7"/>
  <c r="I17" i="12"/>
  <c r="H19" i="12"/>
  <c r="H34" i="12"/>
  <c r="J17" i="12"/>
  <c r="H31" i="7"/>
  <c r="H33" i="7"/>
  <c r="I17" i="1"/>
  <c r="D25" i="12"/>
  <c r="D26" i="12"/>
  <c r="D34" i="12"/>
  <c r="D36" i="12"/>
  <c r="G34" i="12"/>
  <c r="F31" i="7"/>
  <c r="G52" i="7"/>
  <c r="F52" i="7"/>
  <c r="C36" i="7"/>
  <c r="D45" i="7"/>
  <c r="E44" i="7"/>
  <c r="E43" i="7"/>
  <c r="N30" i="2"/>
  <c r="E21" i="2"/>
  <c r="E23" i="2"/>
  <c r="H36" i="7"/>
  <c r="H20" i="12"/>
  <c r="H36" i="12"/>
  <c r="D17" i="1"/>
  <c r="G17" i="1"/>
  <c r="D36" i="7"/>
  <c r="F36" i="7"/>
  <c r="N29" i="2"/>
  <c r="C23" i="11"/>
  <c r="D61" i="7"/>
  <c r="D60" i="7"/>
  <c r="L47" i="7"/>
  <c r="O43" i="7"/>
  <c r="B12" i="11"/>
  <c r="B11" i="11"/>
  <c r="E11" i="11"/>
  <c r="F11" i="11"/>
  <c r="B21" i="11"/>
  <c r="B13" i="11"/>
  <c r="E13" i="11"/>
  <c r="B10" i="11"/>
  <c r="B9" i="11"/>
  <c r="B8" i="11"/>
  <c r="B7" i="11"/>
  <c r="B6" i="11"/>
  <c r="B5" i="11"/>
  <c r="B4" i="11"/>
  <c r="E4" i="11"/>
  <c r="F4" i="11"/>
  <c r="G4" i="11"/>
  <c r="F13" i="11"/>
  <c r="G13" i="11"/>
  <c r="H13" i="11"/>
  <c r="G11" i="11"/>
  <c r="H11" i="11"/>
  <c r="E5" i="11"/>
  <c r="F5" i="11"/>
  <c r="E9" i="11"/>
  <c r="F9" i="11"/>
  <c r="E10" i="11"/>
  <c r="F10" i="11"/>
  <c r="B14" i="11"/>
  <c r="E21" i="11"/>
  <c r="E41" i="7"/>
  <c r="E52" i="7"/>
  <c r="H15" i="11"/>
  <c r="G9" i="11"/>
  <c r="H9" i="11"/>
  <c r="G5" i="11"/>
  <c r="H5" i="11"/>
  <c r="G10" i="11"/>
  <c r="H10" i="11"/>
  <c r="F21" i="11"/>
  <c r="K21" i="2"/>
  <c r="I21" i="2"/>
  <c r="Q43" i="7"/>
  <c r="Q42" i="7"/>
  <c r="Q49" i="7"/>
  <c r="B30" i="11"/>
  <c r="G21" i="11"/>
  <c r="H21" i="11"/>
  <c r="H4" i="11"/>
  <c r="E12" i="4"/>
  <c r="N6" i="1"/>
  <c r="C7" i="1"/>
  <c r="I7" i="1" s="1"/>
  <c r="N3" i="1"/>
  <c r="C3" i="1"/>
  <c r="I3" i="1" s="1"/>
  <c r="C10" i="1"/>
  <c r="I10" i="1" s="1"/>
  <c r="D14" i="4"/>
  <c r="D13" i="4"/>
  <c r="C5" i="1"/>
  <c r="I5" i="1"/>
  <c r="D12" i="4"/>
  <c r="D15" i="4" s="1"/>
  <c r="E10" i="4"/>
  <c r="J17" i="10"/>
  <c r="J18" i="10"/>
  <c r="F9" i="1" s="1"/>
  <c r="L9" i="1" s="1"/>
  <c r="H17" i="10"/>
  <c r="H18" i="10" s="1"/>
  <c r="E9" i="1" s="1"/>
  <c r="K9" i="1" s="1"/>
  <c r="N7" i="1"/>
  <c r="E17" i="10"/>
  <c r="E14" i="4"/>
  <c r="C6" i="1"/>
  <c r="I6" i="1" s="1"/>
  <c r="K51" i="7"/>
  <c r="B17" i="1"/>
  <c r="K50" i="7"/>
  <c r="B16" i="1"/>
  <c r="B19" i="1" s="1"/>
  <c r="N44" i="7"/>
  <c r="K52" i="7"/>
  <c r="O10" i="1"/>
  <c r="P10" i="1"/>
  <c r="D5" i="8"/>
  <c r="D10" i="1"/>
  <c r="J10" i="1"/>
  <c r="E5" i="8"/>
  <c r="E10" i="1"/>
  <c r="K10" i="1"/>
  <c r="F5" i="8"/>
  <c r="F10" i="1"/>
  <c r="L10" i="1"/>
  <c r="G5" i="8"/>
  <c r="P46" i="7"/>
  <c r="P43" i="7"/>
  <c r="D44" i="7"/>
  <c r="P41" i="7"/>
  <c r="D42" i="7"/>
  <c r="P40" i="7"/>
  <c r="D41" i="7"/>
  <c r="O47" i="7"/>
  <c r="N47" i="7"/>
  <c r="O44" i="7"/>
  <c r="C12" i="11"/>
  <c r="N43" i="7"/>
  <c r="O42" i="7"/>
  <c r="N42" i="7"/>
  <c r="O41" i="7"/>
  <c r="C8" i="11"/>
  <c r="E8" i="11"/>
  <c r="N41" i="7"/>
  <c r="O40" i="7"/>
  <c r="C7" i="11"/>
  <c r="N40" i="7"/>
  <c r="F8" i="11"/>
  <c r="G8" i="11"/>
  <c r="H8" i="11"/>
  <c r="E7" i="11"/>
  <c r="C14" i="11"/>
  <c r="D6" i="11"/>
  <c r="D12" i="11"/>
  <c r="E12" i="11"/>
  <c r="N49" i="7"/>
  <c r="O49" i="7"/>
  <c r="F7" i="11"/>
  <c r="G7" i="11"/>
  <c r="H7" i="11"/>
  <c r="F12" i="11"/>
  <c r="G12" i="11"/>
  <c r="H12" i="11"/>
  <c r="D14" i="11"/>
  <c r="E6" i="11"/>
  <c r="F6" i="11"/>
  <c r="E14" i="11"/>
  <c r="F14" i="4"/>
  <c r="H14" i="4"/>
  <c r="J14" i="4"/>
  <c r="G6" i="11"/>
  <c r="F14" i="11"/>
  <c r="J14" i="11"/>
  <c r="G10" i="4"/>
  <c r="I10" i="4"/>
  <c r="P7" i="1"/>
  <c r="D7" i="1"/>
  <c r="J7" i="1"/>
  <c r="E7" i="1"/>
  <c r="K7" i="1" s="1"/>
  <c r="F7" i="1"/>
  <c r="L7" i="1"/>
  <c r="H6" i="11"/>
  <c r="H14" i="11"/>
  <c r="H16" i="11"/>
  <c r="G14" i="11"/>
  <c r="I14" i="11"/>
  <c r="G17" i="10"/>
  <c r="G18" i="10" s="1"/>
  <c r="O9" i="1" s="1"/>
  <c r="O12" i="1" s="1"/>
  <c r="G14" i="4"/>
  <c r="O7" i="1"/>
  <c r="K14" i="4"/>
  <c r="S7" i="1"/>
  <c r="I17" i="10"/>
  <c r="I18" i="10"/>
  <c r="I14" i="4"/>
  <c r="H17" i="11"/>
  <c r="D5" i="1"/>
  <c r="J5" i="1"/>
  <c r="G12" i="4"/>
  <c r="I12" i="4"/>
  <c r="F12" i="4"/>
  <c r="H12" i="4"/>
  <c r="J12" i="4"/>
  <c r="N4" i="4"/>
  <c r="G7" i="4"/>
  <c r="G13" i="4"/>
  <c r="O4" i="4"/>
  <c r="I7" i="4"/>
  <c r="I13" i="4"/>
  <c r="N3" i="4"/>
  <c r="O3" i="4"/>
  <c r="P3" i="4"/>
  <c r="I12" i="2"/>
  <c r="I23" i="2"/>
  <c r="K12" i="2"/>
  <c r="K23" i="2"/>
  <c r="G12" i="2"/>
  <c r="M15" i="2"/>
  <c r="M14" i="2"/>
  <c r="M13" i="2"/>
  <c r="M10" i="2"/>
  <c r="M9" i="2"/>
  <c r="M8" i="2"/>
  <c r="M7" i="2"/>
  <c r="M6" i="2"/>
  <c r="B26" i="11"/>
  <c r="E26" i="11"/>
  <c r="K15" i="4"/>
  <c r="D6" i="1"/>
  <c r="J6" i="1"/>
  <c r="F15" i="4"/>
  <c r="F6" i="1"/>
  <c r="L6" i="1"/>
  <c r="J15" i="4"/>
  <c r="P6" i="1"/>
  <c r="I15" i="4"/>
  <c r="E6" i="1"/>
  <c r="K6" i="1"/>
  <c r="H15" i="4"/>
  <c r="O6" i="1"/>
  <c r="G15" i="4"/>
  <c r="M12" i="2"/>
  <c r="E5" i="1"/>
  <c r="K5" i="1"/>
  <c r="F5" i="1"/>
  <c r="L5" i="1"/>
  <c r="F26" i="11"/>
  <c r="G26" i="11"/>
  <c r="O5" i="1"/>
  <c r="P5" i="1"/>
  <c r="H26" i="11"/>
  <c r="H23" i="2"/>
  <c r="J23" i="2"/>
  <c r="P3" i="1"/>
  <c r="L23" i="2"/>
  <c r="Q3" i="1"/>
  <c r="P9" i="1"/>
  <c r="E3" i="1"/>
  <c r="K3" i="1"/>
  <c r="F3" i="1"/>
  <c r="L3" i="1" s="1"/>
  <c r="M5" i="2"/>
  <c r="M4" i="2"/>
  <c r="M3" i="2"/>
  <c r="S3" i="1"/>
  <c r="H27" i="11"/>
  <c r="O3" i="1"/>
  <c r="P42" i="7"/>
  <c r="D43" i="7"/>
  <c r="P51" i="7"/>
  <c r="G19" i="1"/>
  <c r="D19" i="1"/>
  <c r="C29" i="11"/>
  <c r="Q38" i="9" l="1"/>
  <c r="Q36" i="9"/>
  <c r="Q37" i="9"/>
  <c r="Q34" i="9"/>
  <c r="Q40" i="9" s="1"/>
  <c r="Q35" i="9"/>
  <c r="N46" i="7"/>
  <c r="N50" i="7" s="1"/>
  <c r="N51" i="7" s="1"/>
  <c r="O46" i="7"/>
  <c r="C24" i="10"/>
  <c r="C25" i="10"/>
  <c r="B9" i="1"/>
  <c r="H9" i="1" s="1"/>
  <c r="R9" i="1"/>
  <c r="P12" i="1"/>
  <c r="L12" i="1"/>
  <c r="K12" i="1"/>
  <c r="C9" i="1"/>
  <c r="I9" i="1" s="1"/>
  <c r="B23" i="10"/>
  <c r="E15" i="4"/>
  <c r="N5" i="1"/>
  <c r="S5" i="1" s="1"/>
  <c r="I12" i="1"/>
  <c r="N19" i="1" s="1"/>
  <c r="K19" i="1"/>
  <c r="C15" i="4"/>
  <c r="B15" i="4"/>
  <c r="G15" i="17"/>
  <c r="H15" i="17" s="1"/>
  <c r="I15" i="17" s="1"/>
  <c r="J15" i="17" s="1"/>
  <c r="E15" i="17"/>
  <c r="E17" i="17" s="1"/>
  <c r="G14" i="17"/>
  <c r="H14" i="17" s="1"/>
  <c r="I14" i="17" s="1"/>
  <c r="J14" i="17" s="1"/>
  <c r="B17" i="17"/>
  <c r="B35" i="17" s="1"/>
  <c r="B38" i="17" s="1"/>
  <c r="R12" i="17" s="1"/>
  <c r="R3" i="1"/>
  <c r="M12" i="1"/>
  <c r="R12" i="1" s="1"/>
  <c r="J19" i="1"/>
  <c r="H12" i="1"/>
  <c r="M19" i="1" s="1"/>
  <c r="F17" i="17"/>
  <c r="H4" i="17"/>
  <c r="Q46" i="7" l="1"/>
  <c r="Q50" i="7" s="1"/>
  <c r="Q51" i="7" s="1"/>
  <c r="O50" i="7"/>
  <c r="O51" i="7" s="1"/>
  <c r="D22" i="11"/>
  <c r="D23" i="11" s="1"/>
  <c r="D29" i="11" s="1"/>
  <c r="D31" i="11" s="1"/>
  <c r="D47" i="7"/>
  <c r="N12" i="1"/>
  <c r="S12" i="1" s="1"/>
  <c r="P12" i="9"/>
  <c r="G17" i="17"/>
  <c r="H17" i="17"/>
  <c r="I4" i="17"/>
  <c r="Q52" i="7" l="1"/>
  <c r="G21" i="2"/>
  <c r="G23" i="2" s="1"/>
  <c r="B22" i="11"/>
  <c r="D52" i="7"/>
  <c r="L17" i="17"/>
  <c r="F35" i="17"/>
  <c r="J4" i="17"/>
  <c r="J17" i="17" s="1"/>
  <c r="H19" i="17" s="1"/>
  <c r="I17" i="17"/>
  <c r="B23" i="11" l="1"/>
  <c r="B29" i="11" s="1"/>
  <c r="B32" i="11" s="1"/>
  <c r="E22" i="11"/>
  <c r="M23" i="2"/>
  <c r="D3" i="1"/>
  <c r="J3" i="1" s="1"/>
  <c r="P6" i="9"/>
  <c r="R6" i="17"/>
  <c r="K17" i="17"/>
  <c r="G35" i="17"/>
  <c r="R7" i="17"/>
  <c r="P7" i="9"/>
  <c r="H35" i="17"/>
  <c r="H20" i="17"/>
  <c r="H37" i="17" s="1"/>
  <c r="J12" i="1" l="1"/>
  <c r="L19" i="1"/>
  <c r="F22" i="11"/>
  <c r="F23" i="11" s="1"/>
  <c r="F29" i="11" s="1"/>
  <c r="E23" i="11"/>
  <c r="E29" i="11" s="1"/>
  <c r="G22" i="11"/>
  <c r="P10" i="9"/>
  <c r="R10" i="17"/>
  <c r="H22" i="11" l="1"/>
  <c r="H23" i="11" s="1"/>
  <c r="G23" i="11"/>
  <c r="G29" i="11" s="1"/>
  <c r="Q4" i="9"/>
  <c r="Q5" i="9"/>
  <c r="Q8" i="9"/>
  <c r="Q6" i="9"/>
  <c r="Q7" i="9"/>
  <c r="S5" i="17"/>
  <c r="S8" i="17"/>
  <c r="S4" i="17"/>
  <c r="S6" i="17"/>
  <c r="S7" i="17"/>
  <c r="H29" i="11" l="1"/>
  <c r="H24" i="11"/>
  <c r="H31" i="11" s="1"/>
  <c r="S10" i="17"/>
  <c r="Q10" i="9"/>
</calcChain>
</file>

<file path=xl/sharedStrings.xml><?xml version="1.0" encoding="utf-8"?>
<sst xmlns="http://schemas.openxmlformats.org/spreadsheetml/2006/main" count="729" uniqueCount="402">
  <si>
    <t>Transportation</t>
  </si>
  <si>
    <t xml:space="preserve">    diesel (gal)</t>
  </si>
  <si>
    <t xml:space="preserve">    natural gas (therms)</t>
  </si>
  <si>
    <t xml:space="preserve">    propane (gal)</t>
  </si>
  <si>
    <t>Total</t>
  </si>
  <si>
    <t>%</t>
  </si>
  <si>
    <t>kW dc</t>
  </si>
  <si>
    <t>Location</t>
  </si>
  <si>
    <t>Address</t>
  </si>
  <si>
    <t>2017kWh</t>
  </si>
  <si>
    <t>2018kWh</t>
  </si>
  <si>
    <t>2017 Therms</t>
  </si>
  <si>
    <t>2018 Therms</t>
  </si>
  <si>
    <t>2019 Therms</t>
  </si>
  <si>
    <t>2017 NG expense</t>
  </si>
  <si>
    <t>Electric Service</t>
  </si>
  <si>
    <t>Meter #</t>
  </si>
  <si>
    <t>Washburn Highway Garage</t>
  </si>
  <si>
    <t>Forestry Bldg</t>
  </si>
  <si>
    <t>Cable Garage</t>
  </si>
  <si>
    <t>43645 Kavanaugh Rd., Cable, WI</t>
  </si>
  <si>
    <t>Port Wing Garage</t>
  </si>
  <si>
    <t>8705 State Highway 13, Port Wing, WI</t>
  </si>
  <si>
    <t>Iron River Garage</t>
  </si>
  <si>
    <t>8205 US Highway 2, Iron River, WI</t>
  </si>
  <si>
    <t>Mason Station</t>
  </si>
  <si>
    <t>24990 County Highway E., Mason, WI</t>
  </si>
  <si>
    <t>Site</t>
  </si>
  <si>
    <t>Type</t>
  </si>
  <si>
    <t>kWh/kW/yr</t>
  </si>
  <si>
    <t>Average Electric  Rate</t>
  </si>
  <si>
    <t>1st yr savings</t>
  </si>
  <si>
    <t>Annual Generation kWh</t>
  </si>
  <si>
    <t>Note</t>
  </si>
  <si>
    <t>on-site</t>
  </si>
  <si>
    <t>off-site</t>
  </si>
  <si>
    <t>Xcel Community Solar</t>
  </si>
  <si>
    <t>Sheriff's Department</t>
  </si>
  <si>
    <t>Sm Gen Svc</t>
  </si>
  <si>
    <t>2019 All-in Cost Electrcity</t>
  </si>
  <si>
    <t>2019 All-in Cost Per KWH</t>
  </si>
  <si>
    <t>2019 NG expense</t>
  </si>
  <si>
    <t>Gen TOD</t>
  </si>
  <si>
    <t>2018 All-in Cost Electrcity</t>
  </si>
  <si>
    <t>Includes comm. Solar credit, starts Aug 2018</t>
  </si>
  <si>
    <t>2017 All-in Cost Electrcity</t>
  </si>
  <si>
    <t>2018 NG expense</t>
  </si>
  <si>
    <t>Fairgounds</t>
  </si>
  <si>
    <t>Courthouse</t>
  </si>
  <si>
    <t>7080 N Main St, Iron River</t>
  </si>
  <si>
    <t>117 E 5th St, Washburn</t>
  </si>
  <si>
    <t>34425 Fire Tower Rd, Bayfield</t>
  </si>
  <si>
    <t>380 1st Ave E, Washburn</t>
  </si>
  <si>
    <t>311 Central Ave, Washburn</t>
  </si>
  <si>
    <t>Premise #</t>
  </si>
  <si>
    <t>Highway C</t>
  </si>
  <si>
    <t>Highway E (Mason Station)</t>
  </si>
  <si>
    <t>Jail</t>
  </si>
  <si>
    <t>615 N 2nd Ave E</t>
  </si>
  <si>
    <t>Electric Utility</t>
  </si>
  <si>
    <t>Xcel</t>
  </si>
  <si>
    <t>BEC</t>
  </si>
  <si>
    <t>PV attached to this meter starting 10.1.2018</t>
  </si>
  <si>
    <t>Two meters/buildings at this location</t>
  </si>
  <si>
    <t>Xcel data adjusted to 12 month intervals</t>
  </si>
  <si>
    <t>2017 Cost</t>
  </si>
  <si>
    <t>2018 Cost</t>
  </si>
  <si>
    <t>2019 Cost</t>
  </si>
  <si>
    <t>Renewable*Connect</t>
  </si>
  <si>
    <t>Community Solar</t>
  </si>
  <si>
    <t>kWh</t>
  </si>
  <si>
    <t>Total Electric Usage</t>
  </si>
  <si>
    <t>Self-generated Solar PV</t>
  </si>
  <si>
    <t>Highway Fleet</t>
  </si>
  <si>
    <t>2017 gallons</t>
  </si>
  <si>
    <t>2018 gallons</t>
  </si>
  <si>
    <t>2019 gallons</t>
  </si>
  <si>
    <t>2017 $</t>
  </si>
  <si>
    <t>2018 $</t>
  </si>
  <si>
    <t>2019 $</t>
  </si>
  <si>
    <t>unleaded fuel</t>
  </si>
  <si>
    <t>diesel fuel</t>
  </si>
  <si>
    <t>County Fleet</t>
  </si>
  <si>
    <t>Includes comm. Solar credit, starts pre 2017</t>
  </si>
  <si>
    <t>Russell Garage</t>
  </si>
  <si>
    <t>Xcel/BEC</t>
  </si>
  <si>
    <t>Electricity is BEC/NG is Xcel</t>
  </si>
  <si>
    <t>RSC</t>
  </si>
  <si>
    <t>NA</t>
  </si>
  <si>
    <t>Xcel/Dahlberg</t>
  </si>
  <si>
    <t>Electricity is Dahlberg/NG is Xcel</t>
  </si>
  <si>
    <t>GS-1</t>
  </si>
  <si>
    <t>CNG (gasoline gal equiv)</t>
  </si>
  <si>
    <t>2017 Price/gallon</t>
  </si>
  <si>
    <t>2018 Price/gallon</t>
  </si>
  <si>
    <t>2019 Price/gallon</t>
  </si>
  <si>
    <t>unleaded total</t>
  </si>
  <si>
    <t>diesel total</t>
  </si>
  <si>
    <t xml:space="preserve">    gasoline (gal)</t>
  </si>
  <si>
    <t>2019 Million BTUs</t>
  </si>
  <si>
    <t>2017 Million BTUs</t>
  </si>
  <si>
    <t>2018 Million BTUs</t>
  </si>
  <si>
    <t>Mason Station (see note)</t>
  </si>
  <si>
    <t>Includes comm. solar credit, starts Aug 2018</t>
  </si>
  <si>
    <t xml:space="preserve">Solar PV generation not credited in 2019 (will credit in 2020) </t>
  </si>
  <si>
    <t>CNG</t>
  </si>
  <si>
    <t>CNG therms</t>
  </si>
  <si>
    <t xml:space="preserve">    CNG (therms)</t>
  </si>
  <si>
    <t>Heating</t>
  </si>
  <si>
    <t>Conversion Factor to BTU's</t>
  </si>
  <si>
    <t>Renewable Energy Generation</t>
  </si>
  <si>
    <t>Bayfield County Fleet Fuel</t>
  </si>
  <si>
    <t>~This is necessary because buildings use solar generated electricity before any excess goes to the grid.  If you just use the electric meter for usage, you are not showing the full kWhs used.</t>
  </si>
  <si>
    <t>~Not showing the full building usage would skew numbers like the percentage of electricity that comes from renewable sources</t>
  </si>
  <si>
    <t>~This tracking spreadsheet will likely evolve to include data from the Jail and Washburn Garage eGauge data.</t>
  </si>
  <si>
    <t>READ ME FILE</t>
  </si>
  <si>
    <t>~The solar generation numbers can be found through the inverter's web-based software</t>
  </si>
  <si>
    <t>~The Forestry Building had solar generation in 2019 but was not credited to the electric bill.  This was corrected in Jan/Feb 2020</t>
  </si>
  <si>
    <t>2019 kWh Total Usage</t>
  </si>
  <si>
    <t xml:space="preserve">2020 Estimate kWh Purchase </t>
  </si>
  <si>
    <t>Round</t>
  </si>
  <si>
    <t>Renewable*Connect Annual cost at $.59/100kWh</t>
  </si>
  <si>
    <t>Xcel Renewable*Connect Program Details</t>
  </si>
  <si>
    <t>kWh to Offset in Renewable*Connect</t>
  </si>
  <si>
    <t>Grand Total</t>
  </si>
  <si>
    <t>Onsite solar PV (kW dc)</t>
  </si>
  <si>
    <t>kWh not covered in Xcel Renewable*Connect Program - BEC &amp; Dahlberg</t>
  </si>
  <si>
    <t>Estimated Onsite 2020 Solar Generation</t>
  </si>
  <si>
    <t>Community Solar Generation</t>
  </si>
  <si>
    <t>kWh to Offset in Other Programs</t>
  </si>
  <si>
    <t>BEC/Dahlberg RE in Generation Mix (24%)</t>
  </si>
  <si>
    <t>Other Utility Green Program</t>
  </si>
  <si>
    <t>2019 - % Electricity from Solar</t>
  </si>
  <si>
    <t>Propane Delivered</t>
  </si>
  <si>
    <t>Unit Cost</t>
  </si>
  <si>
    <t>Gallons Purchased</t>
  </si>
  <si>
    <t>Carbon-free Electrcity</t>
  </si>
  <si>
    <t>Carbon-free energy in utility generation mix</t>
  </si>
  <si>
    <t>Bayfield County Path to 100% Carbon-free Electricity</t>
  </si>
  <si>
    <t>Dairyland Power's Evergreen Program annual cost at $1.00/100kWh</t>
  </si>
  <si>
    <t>On-site Solar</t>
  </si>
  <si>
    <t>Off-site Solar</t>
  </si>
  <si>
    <t>Offsite Community Solar</t>
  </si>
  <si>
    <t>2019 kWh on electric bill</t>
  </si>
  <si>
    <t>2019 Total kWh Building Used</t>
  </si>
  <si>
    <t>2020 Total kWh Building Used</t>
  </si>
  <si>
    <t>2020 Therms</t>
  </si>
  <si>
    <t>2020 NG expense</t>
  </si>
  <si>
    <t>2020 All-in Cost Electrcity</t>
  </si>
  <si>
    <t>2020 gallons</t>
  </si>
  <si>
    <r>
      <t xml:space="preserve">2020 </t>
    </r>
    <r>
      <rPr>
        <u/>
        <sz val="11"/>
        <color theme="1"/>
        <rFont val="Calibri"/>
        <family val="2"/>
        <scheme val="minor"/>
      </rPr>
      <t>$</t>
    </r>
  </si>
  <si>
    <t>2020 Price/gallon</t>
  </si>
  <si>
    <t>2020 Million BTUs</t>
  </si>
  <si>
    <t>2020 Cost</t>
  </si>
  <si>
    <t>Note: This data is totaled from other sheets in this Workbook. Don't enter things here!</t>
  </si>
  <si>
    <t>Bayfield County, WI Renewable Electricity</t>
  </si>
  <si>
    <t>Bayfield County Electric Meter Data</t>
  </si>
  <si>
    <t>~BEC subtracts kWh of community solar generation from bill.  Xcel does not, rather gives dollar amount credit.  For full building usage, need to add BEC commuity solar generation to Russel Garage.</t>
  </si>
  <si>
    <t>Solar generation not included in electric bills</t>
  </si>
  <si>
    <t>2019 Solar Generation in addition to kWh on Electric Bills</t>
  </si>
  <si>
    <t>2019 Total Building Usage</t>
  </si>
  <si>
    <t>Total Solar Generation</t>
  </si>
  <si>
    <t>2019kWh on Electric bills</t>
  </si>
  <si>
    <t>2020kWh on Electric bills</t>
  </si>
  <si>
    <t>~In 2019 Mason Station was the only onsite solar generation in 2019 reflected on a utility bill.  Small Jail PV was absorbed behind the meter and,</t>
  </si>
  <si>
    <t>~I could not find Dahlberg's renewable energy percentage in their generation mix.  They are a disribution utility and likely buy their electricity from MISO.  I used 24% as a placeholder, but it is statistically insignificant.</t>
  </si>
  <si>
    <t>~Xcel's History Report numbers to not match electric bills.  This has been reconciled through a spreadsheet called "Compare Bills to History Report".  All the numbers are correct, they are just summing different things. Check it out.</t>
  </si>
  <si>
    <t>2019 kWh Total Usage on Electric bill</t>
  </si>
  <si>
    <r>
      <t xml:space="preserve">Estimated </t>
    </r>
    <r>
      <rPr>
        <i/>
        <sz val="11"/>
        <color theme="1"/>
        <rFont val="Calibri"/>
        <family val="2"/>
        <scheme val="minor"/>
      </rPr>
      <t>New</t>
    </r>
    <r>
      <rPr>
        <sz val="11"/>
        <color theme="1"/>
        <rFont val="Calibri"/>
        <family val="2"/>
        <scheme val="minor"/>
      </rPr>
      <t xml:space="preserve"> Onsite 2020 Solar Generation</t>
    </r>
  </si>
  <si>
    <t>Maximum kWh that could be offset in Renew*Conn. Program</t>
  </si>
  <si>
    <t>Additional kWh County wants to offset</t>
  </si>
  <si>
    <t>Total to Offset in Renewable*Connect Program</t>
  </si>
  <si>
    <t>2019 Solar Gen. Behind Meter</t>
  </si>
  <si>
    <t>Total 2019 kWh Building Use</t>
  </si>
  <si>
    <t>Propane Entry Form</t>
  </si>
  <si>
    <t>Notes:</t>
  </si>
  <si>
    <t>BEC Community Solar</t>
  </si>
  <si>
    <t>2020 kWh/kw</t>
  </si>
  <si>
    <t>2019 kWh/kw</t>
  </si>
  <si>
    <t>2018 kWh/kw</t>
  </si>
  <si>
    <t>2017 kWh/kw</t>
  </si>
  <si>
    <t>Average</t>
  </si>
  <si>
    <t>mWh est.</t>
  </si>
  <si>
    <t>Xcel Community Solar 984 kW dc</t>
  </si>
  <si>
    <t>Cashton Solar Garden 998 kW dc tracking</t>
  </si>
  <si>
    <t>Xcel Carbon-free in Generation Mix (56%)</t>
  </si>
  <si>
    <t>Xcel Total</t>
  </si>
  <si>
    <t>Dairyland Total</t>
  </si>
  <si>
    <t>Arcadia Power Program annual cost at $1.50/100kWh</t>
  </si>
  <si>
    <t>Original Estimates from Xcel/OneEnergy</t>
  </si>
  <si>
    <t>Community Solar Generation Totals</t>
  </si>
  <si>
    <t>% Carbon-free before Renewable*Connect</t>
  </si>
  <si>
    <t>% to offset with Renewable* Connect</t>
  </si>
  <si>
    <t>2020-2017 savings</t>
  </si>
  <si>
    <t>Grandview Sheriff Storage</t>
  </si>
  <si>
    <t>Washburn EM Tower</t>
  </si>
  <si>
    <t>2020 kWh billed</t>
  </si>
  <si>
    <t>Actual on-site &amp; off-site solar generation</t>
  </si>
  <si>
    <t>Jail pre-2020 (mini solar)</t>
  </si>
  <si>
    <t>Jail, 111kW large solar</t>
  </si>
  <si>
    <t>2020 Solar Generation total (kWh)</t>
  </si>
  <si>
    <t>2020 BEC community Solar:  210kWh/205w share = 1024kWh/kw (210kWh/share came from adding 12 months of bill credits)</t>
  </si>
  <si>
    <t>Proof (match EEF tab E21)</t>
  </si>
  <si>
    <t>Totals</t>
  </si>
  <si>
    <t>2020 Solar Generation</t>
  </si>
  <si>
    <t>Russell Garage (BEC CS)</t>
  </si>
  <si>
    <t xml:space="preserve">            Total on-site solar</t>
  </si>
  <si>
    <t xml:space="preserve">           Total off-site solar</t>
  </si>
  <si>
    <t>Total solar not on bills</t>
  </si>
  <si>
    <t>Conversion factor to BTUs</t>
  </si>
  <si>
    <t>2019 Solar Generation total (kWh)</t>
  </si>
  <si>
    <t>Pre-2020 Estimated solar generation</t>
  </si>
  <si>
    <t>Buildings with on-site or off-site solar</t>
  </si>
  <si>
    <t>Jail 5kW mini solar</t>
  </si>
  <si>
    <t>Jail 111kW large solar</t>
  </si>
  <si>
    <t>~25 shares BEC Comm.Solar is attached to Russell Garage. Generation is subtracted from usage on bill</t>
  </si>
  <si>
    <t>~190kW Xcel Comm.Solar. Generation is not subtracted fromkWh  usage on electric bills, only $ amount</t>
  </si>
  <si>
    <t>Value of Solar 2020</t>
  </si>
  <si>
    <t>2020 - % Electricity from Solar</t>
  </si>
  <si>
    <t>2020 - % Solar PV to Total Energy</t>
  </si>
  <si>
    <t>Summary - Bayfield County Energy Usage in County Owned Facilities</t>
  </si>
  <si>
    <t>2019 Solar ($)</t>
  </si>
  <si>
    <t>2020 Solar ($)</t>
  </si>
  <si>
    <t>Xcel Renewable*Connect Program Details - 2020 data</t>
  </si>
  <si>
    <r>
      <rPr>
        <i/>
        <sz val="11"/>
        <color theme="1"/>
        <rFont val="Calibri"/>
        <family val="2"/>
        <scheme val="minor"/>
      </rPr>
      <t xml:space="preserve">2020 </t>
    </r>
    <r>
      <rPr>
        <sz val="11"/>
        <color theme="1"/>
        <rFont val="Calibri"/>
        <family val="2"/>
        <scheme val="minor"/>
      </rPr>
      <t>Onsite Solar Generation</t>
    </r>
  </si>
  <si>
    <t>2020 kWh Total Usage on Electric bill</t>
  </si>
  <si>
    <t>2020 kWh Total Usage</t>
  </si>
  <si>
    <t>Onsite 2020 Solar Generation</t>
  </si>
  <si>
    <t>Proof (match RE tab cell C15)</t>
  </si>
  <si>
    <t>Total Est. Solar Generation</t>
  </si>
  <si>
    <t>Proof (match RE tab cell S15)</t>
  </si>
  <si>
    <t>% of Total Usage offset with Renewable* Connect</t>
  </si>
  <si>
    <t>2020 Total Building kWh</t>
  </si>
  <si>
    <t>% Carbon-free before Renewable* Connect</t>
  </si>
  <si>
    <t>Summary</t>
  </si>
  <si>
    <t>Billed Usage</t>
  </si>
  <si>
    <t>Onsite Solar</t>
  </si>
  <si>
    <t>Offsite Solar</t>
  </si>
  <si>
    <t>Carbon-free in Utility mix</t>
  </si>
  <si>
    <t>kWh to offset</t>
  </si>
  <si>
    <t>Total Cost</t>
  </si>
  <si>
    <t>Highway C Garage</t>
  </si>
  <si>
    <t>Summary Solar Electric Generation</t>
  </si>
  <si>
    <t>Jail/Courthouse Details</t>
  </si>
  <si>
    <t>Mason Station (meter with solar)</t>
  </si>
  <si>
    <t>~BEC has a "Green" program that could offset those few kWH, Dahlberg does not. Could use another program like Arcadia Power</t>
  </si>
  <si>
    <t>~Going forward into 2020 and beyond, the onsite solar generation needs to be included in Total (Year) kWh.  For example, solar generation is entered in Renewable Electricity Tab and added in Electricity Entry Tab in cell C19</t>
  </si>
  <si>
    <t>Bayfield County Electric Meter Data (continued)</t>
  </si>
  <si>
    <t>Jail/Courthouse Details (continued)</t>
  </si>
  <si>
    <t>~Xcel community solar 190kW split 140kW courthouse/50kW jail</t>
  </si>
  <si>
    <t>2020 Xcel community solar:  190kW generated 203,850 kWh = 1072.9kWh/kW</t>
  </si>
  <si>
    <t>2020 kWh to offset</t>
  </si>
  <si>
    <t>Electricity (kWh)</t>
  </si>
  <si>
    <t>2017 Usage</t>
  </si>
  <si>
    <t>2018 Usage</t>
  </si>
  <si>
    <t>2019 Usage</t>
  </si>
  <si>
    <t>2020 Usage</t>
  </si>
  <si>
    <t>Therms to gallons</t>
  </si>
  <si>
    <t>Gallons to therms</t>
  </si>
  <si>
    <t>Conv. Factor</t>
  </si>
  <si>
    <t>Ashland WIC (3 county facility)</t>
  </si>
  <si>
    <t>216 3rd St. W. Ashland, WI</t>
  </si>
  <si>
    <t>Proof (match tab EEF cell C22, and ChartCF P10)</t>
  </si>
  <si>
    <t>Ashland WIC</t>
  </si>
  <si>
    <t>2020 Natural Gas Usage - Bayfield County</t>
  </si>
  <si>
    <t>Forestry Therms</t>
  </si>
  <si>
    <t>Forestry $</t>
  </si>
  <si>
    <t>Iron River Garage Therms</t>
  </si>
  <si>
    <t>Iron River Garage $</t>
  </si>
  <si>
    <t>Ashland WIC Therms</t>
  </si>
  <si>
    <t>Ashland WIC $</t>
  </si>
  <si>
    <t>Courthouse Therms</t>
  </si>
  <si>
    <t>Courthouse $</t>
  </si>
  <si>
    <t>Jail Therms</t>
  </si>
  <si>
    <t>Jail $</t>
  </si>
  <si>
    <t>Wash. Hwy. Garage Therms</t>
  </si>
  <si>
    <t>Wash. Hwy. Garage $</t>
  </si>
  <si>
    <t>Jan</t>
  </si>
  <si>
    <t>Feb</t>
  </si>
  <si>
    <t>March</t>
  </si>
  <si>
    <t>April</t>
  </si>
  <si>
    <t>May</t>
  </si>
  <si>
    <t>June</t>
  </si>
  <si>
    <t>July</t>
  </si>
  <si>
    <t>August</t>
  </si>
  <si>
    <t>Sept</t>
  </si>
  <si>
    <t>Oct</t>
  </si>
  <si>
    <t>Nov</t>
  </si>
  <si>
    <t>Dec</t>
  </si>
  <si>
    <r>
      <t xml:space="preserve">Note:  This is a </t>
    </r>
    <r>
      <rPr>
        <b/>
        <sz val="11"/>
        <color theme="1"/>
        <rFont val="Calibri"/>
        <family val="2"/>
        <scheme val="minor"/>
      </rPr>
      <t>summary sheet</t>
    </r>
    <r>
      <rPr>
        <sz val="11"/>
        <color theme="1"/>
        <rFont val="Calibri"/>
        <family val="2"/>
        <scheme val="minor"/>
      </rPr>
      <t>, enter data on Nat. Gas Entry Form, not here.</t>
    </r>
  </si>
  <si>
    <t>2017-2020 $ savings (%)</t>
  </si>
  <si>
    <t>Natrual Gas Summary</t>
  </si>
  <si>
    <t>Degree Days 2020</t>
  </si>
  <si>
    <t>Degree Days 2019</t>
  </si>
  <si>
    <t>Natural Gas Price Month</t>
  </si>
  <si>
    <t>D.days 2020 vs. 2019</t>
  </si>
  <si>
    <t>Price 2020 vs. 2019</t>
  </si>
  <si>
    <t>2020 usage vs. 2019 (therms %)</t>
  </si>
  <si>
    <t>2020 Solar kWh/kW</t>
  </si>
  <si>
    <t>~Values come from folder 2020 Utiity Bill History &amp; Jail/Courthouse Electric Use Data Spreadsheets</t>
  </si>
  <si>
    <t>~BEC 2020 community solar has 210kWh per share</t>
  </si>
  <si>
    <t>2018 gen (kWh)</t>
  </si>
  <si>
    <t>2017 gen (kWh)</t>
  </si>
  <si>
    <t>2020 Excess Solar Generation Refunded</t>
  </si>
  <si>
    <t>2021 Usage</t>
  </si>
  <si>
    <t>2021 Million BTUs</t>
  </si>
  <si>
    <t>2021 Cost</t>
  </si>
  <si>
    <t>2021 Solar Generation</t>
  </si>
  <si>
    <t>Value of Solar 2021</t>
  </si>
  <si>
    <t>2021kWh on Electric bills</t>
  </si>
  <si>
    <t>2021 All-in Cost Electrcity</t>
  </si>
  <si>
    <t>2021 Therms</t>
  </si>
  <si>
    <t>2021 NG expense</t>
  </si>
  <si>
    <t>2021 $</t>
  </si>
  <si>
    <t>2021 Price/gallon</t>
  </si>
  <si>
    <t>2021 kWh billed</t>
  </si>
  <si>
    <t>2021 Solar Generation total (kWh)</t>
  </si>
  <si>
    <t>2021 Solar ($)</t>
  </si>
  <si>
    <t>2021 Solar kWh/kW</t>
  </si>
  <si>
    <t>2021 kWh/kw</t>
  </si>
  <si>
    <t>2021 Excess Solar Generation Refunded</t>
  </si>
  <si>
    <t>Washburn Garage (Blue Bldg)</t>
  </si>
  <si>
    <t>cut off</t>
  </si>
  <si>
    <t>Note: Gas prices include distribution and gas supply charges</t>
  </si>
  <si>
    <t>2021 (see note)</t>
  </si>
  <si>
    <t>Gas supply only prices</t>
  </si>
  <si>
    <t>Mar</t>
  </si>
  <si>
    <t>Apr</t>
  </si>
  <si>
    <t>Jun</t>
  </si>
  <si>
    <t>Jul</t>
  </si>
  <si>
    <t>Aug</t>
  </si>
  <si>
    <t>Sep</t>
  </si>
  <si>
    <t>Forestry Garage</t>
  </si>
  <si>
    <t>Wash. Hwy. Garage</t>
  </si>
  <si>
    <t>2021 Dollars</t>
  </si>
  <si>
    <t>2020 Dollars</t>
  </si>
  <si>
    <t>Forestry</t>
  </si>
  <si>
    <t xml:space="preserve">Natural Gas Supply + Distrution Price </t>
  </si>
  <si>
    <t>Degree Days</t>
  </si>
  <si>
    <t>Analysis</t>
  </si>
  <si>
    <t>Natural Gas Supply Price 2021 vs. 2020</t>
  </si>
  <si>
    <t>Natrual Gas Usage 2021 vs. 2020</t>
  </si>
  <si>
    <t>Degree Days 2021 vs. 2020</t>
  </si>
  <si>
    <t>2021-2017 savings</t>
  </si>
  <si>
    <t>2021 Total kWh Building Used</t>
  </si>
  <si>
    <t>2017-2019</t>
  </si>
  <si>
    <t>~ Xcel CS- 1103 kWh/kW/yr is from Xcel; 1071 kWh/kW/yr is actual adding 2019 electric bills</t>
  </si>
  <si>
    <t>~BEC CS- gen numbers are downloaded from eGauge</t>
  </si>
  <si>
    <t>Fairgrounds</t>
  </si>
  <si>
    <t>Solar and usage data from eGauge</t>
  </si>
  <si>
    <t>35955 State Hwy 13</t>
  </si>
  <si>
    <t>W Spider Lake Road</t>
  </si>
  <si>
    <t>Spider Lake Dome (Salt Shed)</t>
  </si>
  <si>
    <t>14SEA</t>
  </si>
  <si>
    <t>2021 Solar Used Behind Meter</t>
  </si>
  <si>
    <t>2021 - % Electricity from Solar</t>
  </si>
  <si>
    <t>2022estSavings</t>
  </si>
  <si>
    <t>Value of on-site solar</t>
  </si>
  <si>
    <t>BEC comm solar</t>
  </si>
  <si>
    <t>Xcel comm solar</t>
  </si>
  <si>
    <t>Microgrid additional savings</t>
  </si>
  <si>
    <t>Total savings</t>
  </si>
  <si>
    <t>?</t>
  </si>
  <si>
    <t>2017-2021 $ savings (%)</t>
  </si>
  <si>
    <t>2021 Notes:</t>
  </si>
  <si>
    <t>Readings from eGauge</t>
  </si>
  <si>
    <t>Calculation from 2021 data collection spreadsheet</t>
  </si>
  <si>
    <t>1029kWh shown on Dec bill as net customer generation</t>
  </si>
  <si>
    <t>Credit for excess solar generation</t>
  </si>
  <si>
    <t>2021 Excess Solar Credit $</t>
  </si>
  <si>
    <t>Credit for excess solar</t>
  </si>
  <si>
    <t>Note: BEC subtracts community solar generation from kWh used (see Renewable Electricity Tab)</t>
  </si>
  <si>
    <t>Bayfield County Natural Gas  Usage - Revised 2021 for easier entry</t>
  </si>
  <si>
    <t>Xcel Renewable*Connect Program Details - 2021 data</t>
  </si>
  <si>
    <t>2021 kWh Total Usage on Electric bill</t>
  </si>
  <si>
    <r>
      <rPr>
        <i/>
        <sz val="11"/>
        <color theme="1"/>
        <rFont val="Calibri"/>
        <family val="2"/>
        <scheme val="minor"/>
      </rPr>
      <t xml:space="preserve">2021 </t>
    </r>
    <r>
      <rPr>
        <sz val="11"/>
        <color theme="1"/>
        <rFont val="Calibri"/>
        <family val="2"/>
        <scheme val="minor"/>
      </rPr>
      <t>Onsite Solar Generation</t>
    </r>
  </si>
  <si>
    <t>2021 Total Building kWh</t>
  </si>
  <si>
    <t>Xcel Carbon-free in Generation Mix (60%)</t>
  </si>
  <si>
    <t>Proof (match tab EEF cell C23, and ChartCF P10)</t>
  </si>
  <si>
    <t>2021 kWh Total Usage</t>
  </si>
  <si>
    <t>Onsite 2021 Solar Generation</t>
  </si>
  <si>
    <t>2021 kWh to offset</t>
  </si>
  <si>
    <t>Legacy Solar Program annual cost at $1.50/100kWh</t>
  </si>
  <si>
    <t>Dollar amount from Xcel (check sent) with no explanation, may include both Washburn and Mason Garages.</t>
  </si>
  <si>
    <t>Max kWh can Offset in Renewable*Connect</t>
  </si>
  <si>
    <t>% of Total Xcel Usage offset with Renewable* Connect</t>
  </si>
  <si>
    <t>Proof</t>
  </si>
  <si>
    <t>Chart Data (2020 data)</t>
  </si>
  <si>
    <t>Chart Data (2021 data)</t>
  </si>
  <si>
    <t>2021 usage vs. 2020 (therms %)</t>
  </si>
  <si>
    <t>2021 usage vs. 2019 (therms %)</t>
  </si>
  <si>
    <t>54640 Raymond Ave Grand View WI 54839</t>
  </si>
  <si>
    <t>205 Woodland Dr Washburn WI 54894</t>
  </si>
  <si>
    <t>2021 - % Solar PV to Total Energy</t>
  </si>
  <si>
    <t>Revised in 2021</t>
  </si>
  <si>
    <t>(Used, not purchased)</t>
  </si>
  <si>
    <t>2021 gallons used</t>
  </si>
  <si>
    <t>Method 2</t>
  </si>
  <si>
    <t>Method 1</t>
  </si>
  <si>
    <t>2021 % of Total Energy</t>
  </si>
  <si>
    <t>2017 % of Total Energy</t>
  </si>
  <si>
    <t>2017-2021 Savings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</si>
</sst>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8" formatCode="&quot;$&quot;#,##0.00_);[Red]\(&quot;$&quot;#,##0.00\)"/>
    <numFmt numFmtId="44" formatCode="_(&quot;$&quot;* #,##0.00_);_(&quot;$&quot;* \(#,##0.00\);_(&quot;$&quot;* &quot;-&quot;??_);_(@_)"/>
    <numFmt numFmtId="43" formatCode="_(* #,##0.00_);_(* \(#,##0.00\);_(* &quot;-&quot;??_);_(@_)"/>
    <numFmt numFmtId="164" formatCode="&quot;$&quot;#,##0.000_);[Red]\(&quot;$&quot;#,##0.000\)"/>
    <numFmt numFmtId="165" formatCode="_(* #,##0_);_(* \(#,##0\);_(* &quot;-&quot;??_);_(@_)"/>
    <numFmt numFmtId="166" formatCode="&quot;$&quot;#,##0"/>
    <numFmt numFmtId="167" formatCode="0.0%"/>
    <numFmt numFmtId="168" formatCode="&quot;$&quot;#,##0.00"/>
    <numFmt numFmtId="169" formatCode="_(&quot;$&quot;* #,##0_);_(&quot;$&quot;* \(#,##0\);_(&quot;$&quot;* &quot;-&quot;??_);_(@_)"/>
    <numFmt numFmtId="170" formatCode="&quot;$&quot;#,##0.000000_);[Red]\(&quot;$&quot;#,##0.000000\)"/>
    <numFmt numFmtId="171" formatCode="&quot;$&quot;#,##0.00000_);[Red]\(&quot;$&quot;#,##0.00000\)"/>
    <numFmt numFmtId="172"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sz val="11"/>
      <name val="Calibri"/>
      <family val="2"/>
      <scheme val="minor"/>
    </font>
    <font>
      <b/>
      <sz val="12"/>
      <color theme="1"/>
      <name val="Calibri"/>
      <family val="2"/>
      <scheme val="minor"/>
    </font>
    <font>
      <u/>
      <sz val="11"/>
      <color theme="1"/>
      <name val="Calibri"/>
      <family val="2"/>
      <scheme val="minor"/>
    </font>
    <font>
      <i/>
      <sz val="11"/>
      <color theme="1"/>
      <name val="Calibri"/>
      <family val="2"/>
      <scheme val="minor"/>
    </font>
    <font>
      <b/>
      <sz val="11"/>
      <color rgb="FFFF0000"/>
      <name val="Calibri"/>
      <family val="2"/>
      <scheme val="minor"/>
    </font>
    <font>
      <sz val="8"/>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1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265">
    <xf numFmtId="0" fontId="0" fillId="0" borderId="0" xfId="0"/>
    <xf numFmtId="1" fontId="0" fillId="0" borderId="0" xfId="0" applyNumberFormat="1"/>
    <xf numFmtId="9" fontId="0" fillId="0" borderId="0" xfId="1" applyFont="1"/>
    <xf numFmtId="0" fontId="0" fillId="0" borderId="0" xfId="0" applyAlignment="1">
      <alignment wrapText="1"/>
    </xf>
    <xf numFmtId="0" fontId="2" fillId="0" borderId="0" xfId="0" applyFont="1"/>
    <xf numFmtId="6" fontId="0" fillId="0" borderId="0" xfId="0" applyNumberFormat="1"/>
    <xf numFmtId="1" fontId="0" fillId="0" borderId="0" xfId="0" applyNumberFormat="1" applyAlignment="1">
      <alignment wrapText="1"/>
    </xf>
    <xf numFmtId="0" fontId="0" fillId="0" borderId="0" xfId="0" applyAlignment="1">
      <alignment vertical="center" wrapText="1"/>
    </xf>
    <xf numFmtId="6" fontId="0" fillId="0" borderId="0" xfId="0" applyNumberFormat="1" applyFill="1"/>
    <xf numFmtId="8" fontId="0" fillId="0" borderId="0" xfId="0" applyNumberFormat="1"/>
    <xf numFmtId="3" fontId="0" fillId="0" borderId="0" xfId="0" applyNumberFormat="1"/>
    <xf numFmtId="9" fontId="2" fillId="0" borderId="0" xfId="1" applyFont="1"/>
    <xf numFmtId="9" fontId="0" fillId="0" borderId="0" xfId="0" applyNumberFormat="1"/>
    <xf numFmtId="6" fontId="0" fillId="0" borderId="0" xfId="0" applyNumberFormat="1" applyAlignment="1">
      <alignment wrapText="1"/>
    </xf>
    <xf numFmtId="164" fontId="0" fillId="0" borderId="0" xfId="0" applyNumberFormat="1" applyAlignment="1">
      <alignment wrapText="1"/>
    </xf>
    <xf numFmtId="3" fontId="0" fillId="0" borderId="0" xfId="0" applyNumberFormat="1" applyFill="1"/>
    <xf numFmtId="0" fontId="0" fillId="0" borderId="0" xfId="0" applyAlignment="1">
      <alignment vertical="center"/>
    </xf>
    <xf numFmtId="3" fontId="0" fillId="0" borderId="0" xfId="0" applyNumberFormat="1" applyAlignment="1">
      <alignment vertical="center"/>
    </xf>
    <xf numFmtId="166" fontId="0" fillId="0" borderId="0" xfId="0" applyNumberFormat="1" applyAlignment="1">
      <alignment vertical="center"/>
    </xf>
    <xf numFmtId="3" fontId="4" fillId="0" borderId="0" xfId="0" applyNumberFormat="1" applyFont="1"/>
    <xf numFmtId="6" fontId="5" fillId="0" borderId="0" xfId="0" applyNumberFormat="1" applyFont="1" applyAlignment="1"/>
    <xf numFmtId="6" fontId="4" fillId="0" borderId="0" xfId="0" applyNumberFormat="1" applyFont="1" applyAlignment="1"/>
    <xf numFmtId="3" fontId="5" fillId="0" borderId="0" xfId="0" applyNumberFormat="1" applyFont="1"/>
    <xf numFmtId="38" fontId="0" fillId="0" borderId="0" xfId="0" applyNumberFormat="1"/>
    <xf numFmtId="166" fontId="0" fillId="0" borderId="0" xfId="0" applyNumberFormat="1"/>
    <xf numFmtId="166" fontId="2" fillId="0" borderId="0" xfId="0" applyNumberFormat="1" applyFont="1"/>
    <xf numFmtId="3" fontId="2" fillId="0" borderId="0" xfId="0" applyNumberFormat="1" applyFont="1"/>
    <xf numFmtId="168" fontId="0" fillId="0" borderId="0" xfId="0" applyNumberFormat="1"/>
    <xf numFmtId="0" fontId="8" fillId="0" borderId="0" xfId="0" applyFont="1"/>
    <xf numFmtId="0" fontId="0" fillId="0" borderId="0" xfId="0" applyAlignment="1">
      <alignment horizontal="center"/>
    </xf>
    <xf numFmtId="0" fontId="2" fillId="0" borderId="7" xfId="0" applyFont="1" applyBorder="1"/>
    <xf numFmtId="0" fontId="2" fillId="0" borderId="0" xfId="0" applyFont="1" applyBorder="1"/>
    <xf numFmtId="0" fontId="0" fillId="0" borderId="7" xfId="0" applyBorder="1" applyAlignment="1">
      <alignment vertical="center" wrapText="1"/>
    </xf>
    <xf numFmtId="0" fontId="0" fillId="0" borderId="0" xfId="0" applyBorder="1"/>
    <xf numFmtId="8" fontId="0" fillId="0" borderId="0" xfId="0" applyNumberFormat="1" applyBorder="1"/>
    <xf numFmtId="6" fontId="0" fillId="0" borderId="0" xfId="0" applyNumberFormat="1" applyBorder="1"/>
    <xf numFmtId="3" fontId="0" fillId="0" borderId="0" xfId="0" applyNumberFormat="1" applyBorder="1"/>
    <xf numFmtId="3" fontId="0" fillId="0" borderId="0" xfId="0" applyNumberFormat="1" applyFont="1" applyBorder="1" applyAlignment="1">
      <alignment wrapText="1"/>
    </xf>
    <xf numFmtId="3" fontId="0" fillId="0" borderId="8" xfId="0" applyNumberFormat="1" applyFont="1" applyBorder="1" applyAlignment="1">
      <alignment wrapText="1"/>
    </xf>
    <xf numFmtId="0" fontId="0" fillId="0" borderId="7" xfId="0" applyBorder="1"/>
    <xf numFmtId="3" fontId="0" fillId="0" borderId="0" xfId="0" applyNumberFormat="1" applyFont="1" applyFill="1" applyBorder="1" applyAlignment="1">
      <alignment wrapText="1"/>
    </xf>
    <xf numFmtId="3" fontId="0" fillId="0" borderId="8" xfId="0" applyNumberFormat="1" applyFont="1" applyFill="1" applyBorder="1" applyAlignment="1">
      <alignment wrapText="1"/>
    </xf>
    <xf numFmtId="1" fontId="0" fillId="0" borderId="0" xfId="0" applyNumberFormat="1" applyBorder="1"/>
    <xf numFmtId="164" fontId="0" fillId="0" borderId="0" xfId="0" applyNumberFormat="1" applyBorder="1"/>
    <xf numFmtId="0" fontId="0" fillId="0" borderId="8" xfId="0" applyBorder="1"/>
    <xf numFmtId="3" fontId="2" fillId="0" borderId="0" xfId="0" applyNumberFormat="1" applyFont="1" applyBorder="1"/>
    <xf numFmtId="6" fontId="2" fillId="0" borderId="0" xfId="0" applyNumberFormat="1" applyFont="1" applyBorder="1"/>
    <xf numFmtId="165" fontId="2" fillId="0" borderId="0" xfId="2" applyNumberFormat="1" applyFont="1" applyBorder="1"/>
    <xf numFmtId="0" fontId="6" fillId="0" borderId="0" xfId="0" applyFont="1" applyBorder="1" applyAlignment="1">
      <alignment horizontal="center"/>
    </xf>
    <xf numFmtId="0" fontId="0" fillId="0" borderId="0" xfId="0" applyFill="1" applyBorder="1"/>
    <xf numFmtId="166" fontId="0" fillId="0" borderId="0" xfId="0" applyNumberFormat="1" applyBorder="1"/>
    <xf numFmtId="3" fontId="0" fillId="0" borderId="7" xfId="0" applyNumberFormat="1" applyFont="1" applyBorder="1" applyAlignment="1">
      <alignment wrapText="1"/>
    </xf>
    <xf numFmtId="0" fontId="0" fillId="0" borderId="10" xfId="0" applyBorder="1"/>
    <xf numFmtId="0" fontId="0" fillId="0" borderId="5" xfId="0" applyBorder="1"/>
    <xf numFmtId="0" fontId="0" fillId="0" borderId="6" xfId="0" applyBorder="1"/>
    <xf numFmtId="0" fontId="0" fillId="0" borderId="0" xfId="0" applyBorder="1" applyAlignment="1">
      <alignment wrapText="1"/>
    </xf>
    <xf numFmtId="0" fontId="0" fillId="0" borderId="8" xfId="0" applyBorder="1" applyAlignment="1">
      <alignment wrapText="1"/>
    </xf>
    <xf numFmtId="0" fontId="0" fillId="0" borderId="9" xfId="0" applyBorder="1"/>
    <xf numFmtId="0" fontId="2" fillId="0" borderId="5" xfId="0" applyFont="1" applyBorder="1"/>
    <xf numFmtId="0" fontId="2" fillId="0" borderId="6" xfId="0" applyFont="1" applyBorder="1"/>
    <xf numFmtId="1" fontId="0" fillId="0" borderId="8" xfId="0" applyNumberFormat="1" applyBorder="1"/>
    <xf numFmtId="1" fontId="0" fillId="0" borderId="11" xfId="0" applyNumberFormat="1" applyBorder="1"/>
    <xf numFmtId="9" fontId="0" fillId="0" borderId="0" xfId="1" applyFont="1" applyAlignment="1">
      <alignment wrapText="1"/>
    </xf>
    <xf numFmtId="0" fontId="0" fillId="0" borderId="0" xfId="0" applyAlignment="1"/>
    <xf numFmtId="3" fontId="0" fillId="0" borderId="0" xfId="0" applyNumberFormat="1" applyFill="1" applyBorder="1"/>
    <xf numFmtId="0" fontId="4" fillId="0" borderId="0" xfId="0" applyFont="1"/>
    <xf numFmtId="3" fontId="2" fillId="0" borderId="0" xfId="0" applyNumberFormat="1" applyFont="1" applyFill="1" applyBorder="1"/>
    <xf numFmtId="3" fontId="5" fillId="0" borderId="0" xfId="0" applyNumberFormat="1" applyFont="1" applyBorder="1"/>
    <xf numFmtId="0" fontId="2" fillId="0" borderId="5" xfId="0" applyFont="1" applyBorder="1" applyAlignment="1">
      <alignment wrapText="1"/>
    </xf>
    <xf numFmtId="165" fontId="2" fillId="0" borderId="9" xfId="2" applyNumberFormat="1" applyFont="1" applyBorder="1" applyAlignment="1"/>
    <xf numFmtId="165" fontId="2" fillId="0" borderId="10" xfId="2" applyNumberFormat="1" applyFont="1" applyBorder="1" applyAlignment="1"/>
    <xf numFmtId="165" fontId="2" fillId="0" borderId="11" xfId="0" applyNumberFormat="1" applyFont="1" applyBorder="1"/>
    <xf numFmtId="0" fontId="6" fillId="0" borderId="0" xfId="0" applyFont="1" applyBorder="1" applyAlignment="1"/>
    <xf numFmtId="0" fontId="2" fillId="0" borderId="4" xfId="0" applyFont="1" applyBorder="1"/>
    <xf numFmtId="0" fontId="2" fillId="0" borderId="6" xfId="0" applyFont="1" applyBorder="1" applyAlignment="1">
      <alignment wrapText="1"/>
    </xf>
    <xf numFmtId="165" fontId="2" fillId="0" borderId="1" xfId="2" applyNumberFormat="1" applyFont="1" applyBorder="1"/>
    <xf numFmtId="37" fontId="2" fillId="0" borderId="2" xfId="2" applyNumberFormat="1" applyFont="1" applyBorder="1"/>
    <xf numFmtId="37" fontId="2" fillId="0" borderId="3" xfId="2" applyNumberFormat="1" applyFont="1" applyBorder="1"/>
    <xf numFmtId="0" fontId="2" fillId="0" borderId="1" xfId="0" applyFont="1" applyBorder="1"/>
    <xf numFmtId="0" fontId="2" fillId="0" borderId="2" xfId="0" applyFont="1" applyBorder="1"/>
    <xf numFmtId="3" fontId="2" fillId="0" borderId="2" xfId="0" applyNumberFormat="1" applyFont="1" applyBorder="1"/>
    <xf numFmtId="165" fontId="2" fillId="0" borderId="2" xfId="2" applyNumberFormat="1" applyFont="1" applyBorder="1"/>
    <xf numFmtId="165" fontId="2" fillId="0" borderId="3" xfId="2" applyNumberFormat="1" applyFont="1" applyBorder="1"/>
    <xf numFmtId="165" fontId="0" fillId="0" borderId="0" xfId="2" applyNumberFormat="1" applyFont="1" applyFill="1" applyBorder="1"/>
    <xf numFmtId="6" fontId="0" fillId="0" borderId="0" xfId="0" applyNumberFormat="1" applyFill="1" applyBorder="1"/>
    <xf numFmtId="9" fontId="0" fillId="0" borderId="0" xfId="1" applyFont="1" applyBorder="1"/>
    <xf numFmtId="9" fontId="0" fillId="0" borderId="8" xfId="1" applyFont="1" applyBorder="1"/>
    <xf numFmtId="165" fontId="0" fillId="0" borderId="0" xfId="2" applyNumberFormat="1" applyFont="1" applyBorder="1"/>
    <xf numFmtId="3" fontId="0" fillId="0" borderId="10" xfId="0" applyNumberFormat="1" applyFill="1" applyBorder="1"/>
    <xf numFmtId="9" fontId="0" fillId="0" borderId="10" xfId="1" applyFont="1" applyBorder="1"/>
    <xf numFmtId="6" fontId="0" fillId="0" borderId="10" xfId="0" applyNumberFormat="1" applyBorder="1"/>
    <xf numFmtId="0" fontId="0" fillId="0" borderId="7" xfId="0" applyBorder="1" applyAlignment="1">
      <alignment vertical="top"/>
    </xf>
    <xf numFmtId="1" fontId="0" fillId="0" borderId="0" xfId="0" applyNumberFormat="1" applyFill="1" applyBorder="1"/>
    <xf numFmtId="1" fontId="0" fillId="0" borderId="10" xfId="0" applyNumberFormat="1" applyBorder="1"/>
    <xf numFmtId="165" fontId="0" fillId="0" borderId="10" xfId="2" applyNumberFormat="1" applyFont="1" applyBorder="1"/>
    <xf numFmtId="166" fontId="0" fillId="0" borderId="10" xfId="0" applyNumberFormat="1" applyFill="1" applyBorder="1"/>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2" fillId="0" borderId="4" xfId="0" applyFont="1" applyBorder="1" applyAlignment="1">
      <alignment wrapText="1"/>
    </xf>
    <xf numFmtId="3" fontId="0" fillId="0" borderId="8" xfId="0" applyNumberFormat="1" applyBorder="1"/>
    <xf numFmtId="38" fontId="0" fillId="0" borderId="0" xfId="0" applyNumberFormat="1" applyAlignment="1">
      <alignment wrapText="1"/>
    </xf>
    <xf numFmtId="3" fontId="0" fillId="0" borderId="0" xfId="0" applyNumberFormat="1" applyAlignment="1">
      <alignment wrapText="1"/>
    </xf>
    <xf numFmtId="38" fontId="2" fillId="0" borderId="0" xfId="0" applyNumberFormat="1" applyFont="1"/>
    <xf numFmtId="9" fontId="5" fillId="0" borderId="10" xfId="1" applyFont="1" applyBorder="1"/>
    <xf numFmtId="3" fontId="2" fillId="0" borderId="7" xfId="0" applyNumberFormat="1" applyFont="1" applyBorder="1" applyAlignment="1">
      <alignment wrapText="1"/>
    </xf>
    <xf numFmtId="8" fontId="0" fillId="0" borderId="0" xfId="0" applyNumberFormat="1" applyFill="1"/>
    <xf numFmtId="0" fontId="0" fillId="2" borderId="0" xfId="0" applyFill="1" applyAlignment="1">
      <alignment wrapText="1"/>
    </xf>
    <xf numFmtId="0" fontId="0" fillId="2" borderId="0" xfId="0" applyFill="1"/>
    <xf numFmtId="44" fontId="0" fillId="2" borderId="0" xfId="3" applyFont="1" applyFill="1"/>
    <xf numFmtId="44" fontId="0" fillId="0" borderId="0" xfId="3" applyFont="1"/>
    <xf numFmtId="1" fontId="0" fillId="2" borderId="0" xfId="0" applyNumberFormat="1" applyFill="1"/>
    <xf numFmtId="165" fontId="0" fillId="0" borderId="0" xfId="2" applyNumberFormat="1" applyFont="1"/>
    <xf numFmtId="165" fontId="0" fillId="2" borderId="0" xfId="2" applyNumberFormat="1" applyFont="1" applyFill="1"/>
    <xf numFmtId="169" fontId="0" fillId="0" borderId="0" xfId="3" applyNumberFormat="1" applyFont="1"/>
    <xf numFmtId="170" fontId="0" fillId="0" borderId="0" xfId="0" applyNumberFormat="1"/>
    <xf numFmtId="3" fontId="0" fillId="2" borderId="0" xfId="0" applyNumberFormat="1" applyFill="1"/>
    <xf numFmtId="6" fontId="0" fillId="2" borderId="0" xfId="0" applyNumberFormat="1" applyFill="1"/>
    <xf numFmtId="0" fontId="0" fillId="2" borderId="0" xfId="0" applyFill="1" applyAlignment="1">
      <alignment vertical="center" wrapText="1"/>
    </xf>
    <xf numFmtId="6" fontId="0" fillId="2" borderId="0" xfId="0" applyNumberFormat="1" applyFill="1" applyAlignment="1">
      <alignment vertical="center" wrapText="1"/>
    </xf>
    <xf numFmtId="0" fontId="5" fillId="2" borderId="0" xfId="0" applyFont="1" applyFill="1"/>
    <xf numFmtId="3" fontId="0" fillId="2" borderId="0" xfId="0" applyNumberFormat="1" applyFill="1" applyAlignment="1">
      <alignment vertical="center" wrapText="1"/>
    </xf>
    <xf numFmtId="0" fontId="5" fillId="2" borderId="0" xfId="0" applyFont="1" applyFill="1" applyAlignment="1">
      <alignment vertical="center" wrapText="1"/>
    </xf>
    <xf numFmtId="6" fontId="0" fillId="2" borderId="0" xfId="0" applyNumberFormat="1" applyFill="1" applyAlignment="1">
      <alignment wrapText="1"/>
    </xf>
    <xf numFmtId="3" fontId="5" fillId="2" borderId="0" xfId="0" applyNumberFormat="1" applyFont="1" applyFill="1"/>
    <xf numFmtId="164" fontId="0" fillId="2" borderId="0" xfId="0" applyNumberFormat="1" applyFill="1" applyAlignment="1">
      <alignment wrapText="1"/>
    </xf>
    <xf numFmtId="3" fontId="5" fillId="2" borderId="0" xfId="0" applyNumberFormat="1" applyFont="1" applyFill="1" applyAlignment="1">
      <alignment vertical="center" wrapText="1"/>
    </xf>
    <xf numFmtId="1" fontId="0" fillId="2" borderId="0" xfId="0" applyNumberFormat="1" applyFill="1" applyAlignment="1">
      <alignment wrapText="1"/>
    </xf>
    <xf numFmtId="1" fontId="0" fillId="2" borderId="0" xfId="0" applyNumberFormat="1" applyFill="1" applyAlignment="1">
      <alignment vertical="center" wrapText="1"/>
    </xf>
    <xf numFmtId="166" fontId="0" fillId="2" borderId="0" xfId="0" applyNumberFormat="1" applyFill="1"/>
    <xf numFmtId="0" fontId="0" fillId="2" borderId="0" xfId="0" applyFont="1" applyFill="1" applyAlignment="1">
      <alignment wrapText="1"/>
    </xf>
    <xf numFmtId="0" fontId="2" fillId="2" borderId="0" xfId="0" applyFont="1" applyFill="1"/>
    <xf numFmtId="3" fontId="0" fillId="2" borderId="0" xfId="0" applyNumberFormat="1" applyFill="1" applyAlignment="1">
      <alignment vertical="center"/>
    </xf>
    <xf numFmtId="166" fontId="0" fillId="2" borderId="0" xfId="0" applyNumberFormat="1" applyFill="1" applyAlignment="1">
      <alignment vertical="center"/>
    </xf>
    <xf numFmtId="6" fontId="4" fillId="2" borderId="0" xfId="0" applyNumberFormat="1" applyFont="1" applyFill="1" applyAlignment="1"/>
    <xf numFmtId="3" fontId="0" fillId="2" borderId="0" xfId="0" applyNumberFormat="1" applyFont="1" applyFill="1" applyBorder="1"/>
    <xf numFmtId="0" fontId="2" fillId="2" borderId="0" xfId="0" applyFont="1" applyFill="1" applyBorder="1"/>
    <xf numFmtId="3" fontId="5" fillId="2" borderId="0" xfId="0" applyNumberFormat="1" applyFont="1" applyFill="1" applyBorder="1"/>
    <xf numFmtId="0" fontId="9" fillId="2" borderId="0" xfId="0" applyFont="1" applyFill="1" applyBorder="1"/>
    <xf numFmtId="3" fontId="0" fillId="2" borderId="0" xfId="0" applyNumberFormat="1" applyFill="1" applyBorder="1"/>
    <xf numFmtId="0" fontId="0" fillId="2" borderId="0" xfId="0" applyFill="1" applyBorder="1"/>
    <xf numFmtId="0" fontId="4" fillId="2" borderId="0" xfId="0" applyFont="1" applyFill="1" applyBorder="1"/>
    <xf numFmtId="3" fontId="0" fillId="2" borderId="10" xfId="0" applyNumberFormat="1" applyFill="1" applyBorder="1"/>
    <xf numFmtId="165" fontId="0" fillId="2" borderId="0" xfId="2" applyNumberFormat="1" applyFont="1" applyFill="1" applyBorder="1"/>
    <xf numFmtId="6" fontId="0" fillId="2" borderId="0" xfId="1" applyNumberFormat="1" applyFont="1" applyFill="1" applyBorder="1"/>
    <xf numFmtId="6" fontId="0" fillId="2" borderId="10" xfId="0" applyNumberFormat="1" applyFill="1" applyBorder="1"/>
    <xf numFmtId="6" fontId="0" fillId="2" borderId="0" xfId="0" applyNumberFormat="1" applyFill="1" applyBorder="1"/>
    <xf numFmtId="9" fontId="0" fillId="0" borderId="11" xfId="1" applyFont="1" applyBorder="1"/>
    <xf numFmtId="6" fontId="5" fillId="2" borderId="0" xfId="0" applyNumberFormat="1" applyFont="1" applyFill="1"/>
    <xf numFmtId="6" fontId="5" fillId="2" borderId="0" xfId="1" applyNumberFormat="1" applyFont="1" applyFill="1" applyBorder="1"/>
    <xf numFmtId="167" fontId="5" fillId="0" borderId="11" xfId="1" applyNumberFormat="1" applyFont="1" applyBorder="1"/>
    <xf numFmtId="44" fontId="0" fillId="0" borderId="0" xfId="3" applyFont="1" applyAlignment="1">
      <alignment wrapText="1"/>
    </xf>
    <xf numFmtId="0" fontId="0" fillId="0" borderId="0" xfId="0" applyFill="1"/>
    <xf numFmtId="9" fontId="0" fillId="3" borderId="0" xfId="1" applyFont="1" applyFill="1"/>
    <xf numFmtId="3" fontId="0" fillId="0" borderId="10" xfId="0" applyNumberFormat="1" applyBorder="1"/>
    <xf numFmtId="0" fontId="0" fillId="0" borderId="11" xfId="0" applyBorder="1"/>
    <xf numFmtId="1" fontId="0" fillId="0" borderId="0" xfId="0" applyNumberFormat="1" applyAlignment="1">
      <alignment horizontal="right"/>
    </xf>
    <xf numFmtId="0" fontId="2" fillId="0" borderId="0" xfId="0" applyFont="1" applyAlignment="1">
      <alignment wrapText="1"/>
    </xf>
    <xf numFmtId="0" fontId="3" fillId="0" borderId="4" xfId="0" applyFont="1" applyBorder="1" applyAlignment="1"/>
    <xf numFmtId="0" fontId="3" fillId="0" borderId="5" xfId="0" applyFont="1" applyBorder="1" applyAlignment="1"/>
    <xf numFmtId="1" fontId="5" fillId="0" borderId="10" xfId="0" applyNumberFormat="1" applyFont="1" applyBorder="1"/>
    <xf numFmtId="3" fontId="0" fillId="0" borderId="0" xfId="0" applyNumberFormat="1" applyAlignment="1">
      <alignment vertical="center" wrapText="1"/>
    </xf>
    <xf numFmtId="44" fontId="0" fillId="0" borderId="0" xfId="3" applyFont="1" applyFill="1"/>
    <xf numFmtId="1" fontId="0" fillId="0" borderId="0" xfId="0" applyNumberFormat="1" applyFill="1"/>
    <xf numFmtId="165" fontId="0" fillId="0" borderId="0" xfId="2" applyNumberFormat="1" applyFont="1" applyFill="1"/>
    <xf numFmtId="169" fontId="0" fillId="0" borderId="0" xfId="3" applyNumberFormat="1" applyFont="1" applyFill="1"/>
    <xf numFmtId="0" fontId="0" fillId="0" borderId="0" xfId="0" applyFill="1" applyAlignment="1">
      <alignment wrapText="1"/>
    </xf>
    <xf numFmtId="169" fontId="0" fillId="0" borderId="0" xfId="2" applyNumberFormat="1" applyFont="1" applyFill="1"/>
    <xf numFmtId="169" fontId="0" fillId="0" borderId="0" xfId="0" applyNumberFormat="1"/>
    <xf numFmtId="171" fontId="0" fillId="0" borderId="0" xfId="0" applyNumberFormat="1"/>
    <xf numFmtId="169" fontId="0" fillId="0" borderId="0" xfId="0" applyNumberFormat="1" applyAlignment="1">
      <alignment vertical="center" wrapText="1"/>
    </xf>
    <xf numFmtId="172" fontId="2" fillId="0" borderId="0" xfId="0" applyNumberFormat="1" applyFont="1" applyBorder="1"/>
    <xf numFmtId="37" fontId="2" fillId="0" borderId="0" xfId="2" applyNumberFormat="1" applyFont="1" applyBorder="1"/>
    <xf numFmtId="6" fontId="2" fillId="0" borderId="2" xfId="0" applyNumberFormat="1" applyFont="1" applyFill="1" applyBorder="1"/>
    <xf numFmtId="6" fontId="2" fillId="0" borderId="0" xfId="0" applyNumberFormat="1" applyFont="1" applyFill="1" applyBorder="1"/>
    <xf numFmtId="0" fontId="2" fillId="0" borderId="5" xfId="0" applyFont="1" applyFill="1" applyBorder="1"/>
    <xf numFmtId="0" fontId="2" fillId="0" borderId="5" xfId="0" applyFont="1" applyFill="1" applyBorder="1" applyAlignment="1">
      <alignment wrapText="1"/>
    </xf>
    <xf numFmtId="8" fontId="0" fillId="0" borderId="0" xfId="0" applyNumberFormat="1" applyFill="1" applyBorder="1"/>
    <xf numFmtId="164" fontId="0" fillId="0" borderId="0" xfId="0" applyNumberFormat="1" applyFill="1" applyBorder="1"/>
    <xf numFmtId="0" fontId="2" fillId="0" borderId="0" xfId="0" applyFont="1" applyFill="1" applyBorder="1"/>
    <xf numFmtId="172" fontId="2" fillId="0" borderId="0" xfId="0" applyNumberFormat="1" applyFont="1" applyFill="1" applyBorder="1"/>
    <xf numFmtId="3" fontId="2" fillId="0" borderId="2" xfId="0" applyNumberFormat="1" applyFont="1" applyFill="1" applyBorder="1"/>
    <xf numFmtId="165" fontId="2" fillId="0" borderId="0" xfId="2" applyNumberFormat="1" applyFont="1" applyFill="1"/>
    <xf numFmtId="165" fontId="2" fillId="0" borderId="0" xfId="2" applyNumberFormat="1" applyFont="1" applyBorder="1" applyAlignment="1"/>
    <xf numFmtId="165" fontId="2" fillId="0" borderId="0" xfId="0" applyNumberFormat="1" applyFont="1" applyBorder="1"/>
    <xf numFmtId="166" fontId="0" fillId="0" borderId="0" xfId="0" applyNumberFormat="1" applyFill="1" applyBorder="1"/>
    <xf numFmtId="165" fontId="2" fillId="0" borderId="0" xfId="2" applyNumberFormat="1" applyFont="1" applyFill="1" applyBorder="1"/>
    <xf numFmtId="0" fontId="0" fillId="0" borderId="10" xfId="0" applyFill="1" applyBorder="1"/>
    <xf numFmtId="0" fontId="2" fillId="0" borderId="10" xfId="0" applyFont="1" applyFill="1" applyBorder="1"/>
    <xf numFmtId="37" fontId="2" fillId="0" borderId="2" xfId="2" applyNumberFormat="1" applyFont="1" applyFill="1" applyBorder="1"/>
    <xf numFmtId="0" fontId="2" fillId="0" borderId="6" xfId="0" applyFont="1" applyFill="1" applyBorder="1" applyAlignment="1">
      <alignment wrapText="1"/>
    </xf>
    <xf numFmtId="0" fontId="0" fillId="0" borderId="8" xfId="0" applyFill="1" applyBorder="1"/>
    <xf numFmtId="1" fontId="0" fillId="0" borderId="8" xfId="0" applyNumberFormat="1" applyFill="1" applyBorder="1"/>
    <xf numFmtId="3" fontId="0" fillId="0" borderId="11" xfId="0" applyNumberFormat="1" applyFill="1" applyBorder="1"/>
    <xf numFmtId="3" fontId="0" fillId="0" borderId="8" xfId="0" applyNumberFormat="1" applyFill="1" applyBorder="1"/>
    <xf numFmtId="37" fontId="2" fillId="0" borderId="0" xfId="2" applyNumberFormat="1" applyFont="1" applyFill="1" applyBorder="1"/>
    <xf numFmtId="3" fontId="0" fillId="0" borderId="3" xfId="0" applyNumberFormat="1" applyFill="1" applyBorder="1"/>
    <xf numFmtId="3" fontId="2" fillId="0" borderId="3" xfId="0" applyNumberFormat="1" applyFont="1" applyFill="1" applyBorder="1"/>
    <xf numFmtId="0" fontId="0" fillId="0" borderId="0" xfId="0" applyFont="1"/>
    <xf numFmtId="0" fontId="0" fillId="0" borderId="0" xfId="0" applyAlignment="1">
      <alignment horizontal="left" vertical="center" wrapText="1"/>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3" fontId="0" fillId="0" borderId="0" xfId="0" applyNumberFormat="1" applyFont="1" applyBorder="1"/>
    <xf numFmtId="3" fontId="5" fillId="0" borderId="0" xfId="0" applyNumberFormat="1" applyFont="1" applyFill="1" applyBorder="1"/>
    <xf numFmtId="0" fontId="0" fillId="0" borderId="0" xfId="0" applyAlignment="1">
      <alignment horizontal="center"/>
    </xf>
    <xf numFmtId="0" fontId="6" fillId="0" borderId="0" xfId="0" applyFont="1" applyAlignment="1">
      <alignment horizontal="center"/>
    </xf>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169" fontId="5" fillId="0" borderId="0" xfId="3" applyNumberFormat="1" applyFont="1" applyFill="1"/>
    <xf numFmtId="165" fontId="0" fillId="3" borderId="0" xfId="2" applyNumberFormat="1" applyFont="1" applyFill="1"/>
    <xf numFmtId="169" fontId="0" fillId="3" borderId="0" xfId="3" applyNumberFormat="1" applyFont="1" applyFill="1"/>
    <xf numFmtId="3" fontId="0" fillId="3" borderId="0" xfId="0" applyNumberFormat="1" applyFill="1" applyBorder="1"/>
    <xf numFmtId="3" fontId="2" fillId="3" borderId="0" xfId="0" applyNumberFormat="1" applyFont="1" applyFill="1" applyBorder="1"/>
    <xf numFmtId="37" fontId="1" fillId="0" borderId="0" xfId="2" applyNumberFormat="1" applyFont="1" applyBorder="1"/>
    <xf numFmtId="3" fontId="0" fillId="4" borderId="0" xfId="0" applyNumberFormat="1" applyFill="1" applyBorder="1"/>
    <xf numFmtId="3" fontId="2" fillId="4" borderId="0" xfId="0" applyNumberFormat="1" applyFont="1" applyFill="1" applyBorder="1"/>
    <xf numFmtId="37" fontId="0" fillId="0" borderId="0" xfId="2" applyNumberFormat="1" applyFont="1" applyBorder="1"/>
    <xf numFmtId="3" fontId="2" fillId="5" borderId="0" xfId="0" applyNumberFormat="1" applyFont="1" applyFill="1" applyBorder="1"/>
    <xf numFmtId="0" fontId="0" fillId="5" borderId="0" xfId="0" applyFill="1" applyBorder="1"/>
    <xf numFmtId="3" fontId="2" fillId="6" borderId="0" xfId="0" applyNumberFormat="1" applyFont="1" applyFill="1" applyBorder="1"/>
    <xf numFmtId="169" fontId="0" fillId="2" borderId="0" xfId="0" applyNumberFormat="1" applyFill="1" applyAlignment="1">
      <alignment vertical="center" wrapText="1"/>
    </xf>
    <xf numFmtId="0" fontId="2" fillId="2" borderId="5" xfId="0" applyFont="1" applyFill="1" applyBorder="1" applyAlignment="1">
      <alignment wrapText="1"/>
    </xf>
    <xf numFmtId="9" fontId="2" fillId="2" borderId="5" xfId="0" applyNumberFormat="1" applyFont="1" applyFill="1" applyBorder="1" applyAlignment="1">
      <alignment wrapText="1"/>
    </xf>
    <xf numFmtId="0" fontId="2" fillId="2" borderId="5" xfId="0" applyFont="1" applyFill="1" applyBorder="1"/>
    <xf numFmtId="0" fontId="0" fillId="0" borderId="0" xfId="0" applyFill="1" applyAlignment="1">
      <alignment horizontal="left" vertical="center" wrapText="1"/>
    </xf>
    <xf numFmtId="0" fontId="6" fillId="0" borderId="7" xfId="0" applyFont="1" applyBorder="1" applyAlignment="1"/>
    <xf numFmtId="3" fontId="0" fillId="0" borderId="7" xfId="0" applyNumberFormat="1" applyFill="1" applyBorder="1"/>
    <xf numFmtId="3" fontId="0" fillId="0" borderId="9" xfId="0" applyNumberFormat="1" applyFill="1" applyBorder="1"/>
    <xf numFmtId="169" fontId="5" fillId="0" borderId="0" xfId="3" applyNumberFormat="1" applyFont="1"/>
    <xf numFmtId="0" fontId="5" fillId="0" borderId="0" xfId="0" applyFont="1" applyAlignment="1">
      <alignment vertical="center" wrapText="1"/>
    </xf>
    <xf numFmtId="3" fontId="5" fillId="0" borderId="0" xfId="0" applyNumberFormat="1" applyFont="1" applyAlignment="1">
      <alignment vertical="center" wrapText="1"/>
    </xf>
    <xf numFmtId="3" fontId="0" fillId="0" borderId="0" xfId="0" applyNumberFormat="1" applyFill="1" applyAlignment="1">
      <alignment vertical="center"/>
    </xf>
    <xf numFmtId="166" fontId="0" fillId="0" borderId="0" xfId="0" applyNumberFormat="1" applyFill="1" applyAlignment="1">
      <alignment vertical="center"/>
    </xf>
    <xf numFmtId="6" fontId="0" fillId="6" borderId="0" xfId="0" applyNumberFormat="1" applyFill="1" applyBorder="1"/>
    <xf numFmtId="0" fontId="0" fillId="0" borderId="0" xfId="0" applyFill="1"/>
    <xf numFmtId="0" fontId="0" fillId="0" borderId="0" xfId="0" applyFill="1" applyAlignment="1">
      <alignment horizontal="center"/>
    </xf>
    <xf numFmtId="167" fontId="0" fillId="0" borderId="10" xfId="1" applyNumberFormat="1" applyFont="1" applyBorder="1"/>
    <xf numFmtId="3" fontId="0" fillId="5" borderId="0" xfId="0" applyNumberFormat="1" applyFill="1"/>
    <xf numFmtId="0" fontId="0" fillId="5" borderId="0" xfId="0" applyFill="1"/>
    <xf numFmtId="165" fontId="0" fillId="0" borderId="0" xfId="0" applyNumberFormat="1"/>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7" xfId="0" applyFont="1" applyBorder="1" applyAlignment="1">
      <alignment horizontal="center"/>
    </xf>
    <xf numFmtId="0" fontId="3" fillId="0" borderId="0" xfId="0" applyFont="1" applyBorder="1" applyAlignment="1">
      <alignment horizontal="center"/>
    </xf>
    <xf numFmtId="0" fontId="0" fillId="0" borderId="0" xfId="0" applyAlignment="1">
      <alignment horizontal="center"/>
    </xf>
    <xf numFmtId="0" fontId="3" fillId="0" borderId="0" xfId="0" applyFont="1" applyAlignment="1">
      <alignment horizontal="center"/>
    </xf>
    <xf numFmtId="0" fontId="0" fillId="0" borderId="0" xfId="0" applyAlignment="1">
      <alignment horizontal="left" vertical="center" wrapText="1"/>
    </xf>
    <xf numFmtId="0" fontId="6" fillId="0" borderId="0" xfId="0" applyFont="1" applyAlignment="1">
      <alignment horizontal="center"/>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xf>
    <xf numFmtId="0" fontId="2" fillId="0" borderId="5"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1"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0" fontId="2" fillId="0" borderId="0" xfId="0" applyFont="1" applyAlignment="1">
      <alignment horizontal="center"/>
    </xf>
  </cellXfs>
  <cellStyles count="4">
    <cellStyle name="Comma" xfId="2" builtinId="3"/>
    <cellStyle name="Currency" xfId="3"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2019-2021 Natural</a:t>
            </a:r>
            <a:r>
              <a:rPr lang="en-US" baseline="0"/>
              <a:t> </a:t>
            </a:r>
            <a:r>
              <a:rPr lang="en-US"/>
              <a:t>Gas Supply &amp; Distribution Prices per therm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2021</c:v>
          </c:tx>
          <c:spPr>
            <a:solidFill>
              <a:schemeClr val="accent1"/>
            </a:solidFill>
            <a:ln>
              <a:noFill/>
            </a:ln>
            <a:effectLst/>
          </c:spPr>
          <c:invertIfNegative val="0"/>
          <c:cat>
            <c:strRef>
              <c:f>'2020 Nat. Gas Entry Form'!$A$19:$A$30</c:f>
              <c:strCache>
                <c:ptCount val="12"/>
                <c:pt idx="0">
                  <c:v>Jan</c:v>
                </c:pt>
                <c:pt idx="1">
                  <c:v>Feb</c:v>
                </c:pt>
                <c:pt idx="2">
                  <c:v>March</c:v>
                </c:pt>
                <c:pt idx="3">
                  <c:v>April</c:v>
                </c:pt>
                <c:pt idx="4">
                  <c:v>May</c:v>
                </c:pt>
                <c:pt idx="5">
                  <c:v>June</c:v>
                </c:pt>
                <c:pt idx="6">
                  <c:v>July</c:v>
                </c:pt>
                <c:pt idx="7">
                  <c:v>August</c:v>
                </c:pt>
                <c:pt idx="8">
                  <c:v>Sept</c:v>
                </c:pt>
                <c:pt idx="9">
                  <c:v>Oct</c:v>
                </c:pt>
                <c:pt idx="10">
                  <c:v>Nov</c:v>
                </c:pt>
                <c:pt idx="11">
                  <c:v>Dec</c:v>
                </c:pt>
              </c:strCache>
            </c:strRef>
          </c:cat>
          <c:val>
            <c:numRef>
              <c:f>'2020 Nat. Gas Entry Form'!$B$19:$B$30</c:f>
              <c:numCache>
                <c:formatCode>"$"#,##0.000000_);[Red]\("$"#,##0.000000\)</c:formatCode>
                <c:ptCount val="12"/>
                <c:pt idx="0">
                  <c:v>0.59334500000000001</c:v>
                </c:pt>
                <c:pt idx="1">
                  <c:v>0.59293700000000005</c:v>
                </c:pt>
                <c:pt idx="2">
                  <c:v>0.75225699999999995</c:v>
                </c:pt>
                <c:pt idx="3">
                  <c:v>1.0775939999999999</c:v>
                </c:pt>
                <c:pt idx="4">
                  <c:v>1.0428299999999999</c:v>
                </c:pt>
                <c:pt idx="5">
                  <c:v>1.068425</c:v>
                </c:pt>
                <c:pt idx="6">
                  <c:v>1.115507</c:v>
                </c:pt>
                <c:pt idx="7">
                  <c:v>1.1731670000000001</c:v>
                </c:pt>
                <c:pt idx="8">
                  <c:v>1.208995</c:v>
                </c:pt>
                <c:pt idx="9">
                  <c:v>1.3439190000000001</c:v>
                </c:pt>
                <c:pt idx="10">
                  <c:v>1.3877489999999999</c:v>
                </c:pt>
                <c:pt idx="11">
                  <c:v>1.17134</c:v>
                </c:pt>
              </c:numCache>
            </c:numRef>
          </c:val>
          <c:extLst>
            <c:ext xmlns:c16="http://schemas.microsoft.com/office/drawing/2014/chart" uri="{C3380CC4-5D6E-409C-BE32-E72D297353CC}">
              <c16:uniqueId val="{00000000-B392-4340-A435-F4A4417E9916}"/>
            </c:ext>
          </c:extLst>
        </c:ser>
        <c:ser>
          <c:idx val="1"/>
          <c:order val="1"/>
          <c:tx>
            <c:v>2020</c:v>
          </c:tx>
          <c:spPr>
            <a:solidFill>
              <a:schemeClr val="accent2"/>
            </a:solidFill>
            <a:ln>
              <a:noFill/>
            </a:ln>
            <a:effectLst/>
          </c:spPr>
          <c:invertIfNegative val="0"/>
          <c:cat>
            <c:strRef>
              <c:f>'2020 Nat. Gas Entry Form'!$A$19:$A$30</c:f>
              <c:strCache>
                <c:ptCount val="12"/>
                <c:pt idx="0">
                  <c:v>Jan</c:v>
                </c:pt>
                <c:pt idx="1">
                  <c:v>Feb</c:v>
                </c:pt>
                <c:pt idx="2">
                  <c:v>March</c:v>
                </c:pt>
                <c:pt idx="3">
                  <c:v>April</c:v>
                </c:pt>
                <c:pt idx="4">
                  <c:v>May</c:v>
                </c:pt>
                <c:pt idx="5">
                  <c:v>June</c:v>
                </c:pt>
                <c:pt idx="6">
                  <c:v>July</c:v>
                </c:pt>
                <c:pt idx="7">
                  <c:v>August</c:v>
                </c:pt>
                <c:pt idx="8">
                  <c:v>Sept</c:v>
                </c:pt>
                <c:pt idx="9">
                  <c:v>Oct</c:v>
                </c:pt>
                <c:pt idx="10">
                  <c:v>Nov</c:v>
                </c:pt>
                <c:pt idx="11">
                  <c:v>Dec</c:v>
                </c:pt>
              </c:strCache>
            </c:strRef>
          </c:cat>
          <c:val>
            <c:numRef>
              <c:f>'2020 Nat. Gas Entry Form'!$C$19:$C$30</c:f>
              <c:numCache>
                <c:formatCode>"$"#,##0.000000_);[Red]\("$"#,##0.000000\)</c:formatCode>
                <c:ptCount val="12"/>
                <c:pt idx="0">
                  <c:v>0.59012100000000001</c:v>
                </c:pt>
                <c:pt idx="1">
                  <c:v>0.56884400000000002</c:v>
                </c:pt>
                <c:pt idx="2">
                  <c:v>0.573021</c:v>
                </c:pt>
                <c:pt idx="3">
                  <c:v>0.49984299999999998</c:v>
                </c:pt>
                <c:pt idx="4">
                  <c:v>0.43717899999999998</c:v>
                </c:pt>
                <c:pt idx="5">
                  <c:v>0.423516</c:v>
                </c:pt>
                <c:pt idx="6">
                  <c:v>0.41979499999999997</c:v>
                </c:pt>
                <c:pt idx="7">
                  <c:v>0.454179</c:v>
                </c:pt>
                <c:pt idx="8">
                  <c:v>0.44969900000000002</c:v>
                </c:pt>
                <c:pt idx="9">
                  <c:v>0.45296500000000001</c:v>
                </c:pt>
                <c:pt idx="10">
                  <c:v>0.61930300000000005</c:v>
                </c:pt>
                <c:pt idx="11">
                  <c:v>0.61301300000000003</c:v>
                </c:pt>
              </c:numCache>
            </c:numRef>
          </c:val>
          <c:extLst>
            <c:ext xmlns:c16="http://schemas.microsoft.com/office/drawing/2014/chart" uri="{C3380CC4-5D6E-409C-BE32-E72D297353CC}">
              <c16:uniqueId val="{00000001-B392-4340-A435-F4A4417E9916}"/>
            </c:ext>
          </c:extLst>
        </c:ser>
        <c:ser>
          <c:idx val="2"/>
          <c:order val="2"/>
          <c:tx>
            <c:v>2019</c:v>
          </c:tx>
          <c:spPr>
            <a:solidFill>
              <a:schemeClr val="accent3"/>
            </a:solidFill>
            <a:ln>
              <a:noFill/>
            </a:ln>
            <a:effectLst/>
          </c:spPr>
          <c:invertIfNegative val="0"/>
          <c:cat>
            <c:strRef>
              <c:f>'2020 Nat. Gas Entry Form'!$A$19:$A$30</c:f>
              <c:strCache>
                <c:ptCount val="12"/>
                <c:pt idx="0">
                  <c:v>Jan</c:v>
                </c:pt>
                <c:pt idx="1">
                  <c:v>Feb</c:v>
                </c:pt>
                <c:pt idx="2">
                  <c:v>March</c:v>
                </c:pt>
                <c:pt idx="3">
                  <c:v>April</c:v>
                </c:pt>
                <c:pt idx="4">
                  <c:v>May</c:v>
                </c:pt>
                <c:pt idx="5">
                  <c:v>June</c:v>
                </c:pt>
                <c:pt idx="6">
                  <c:v>July</c:v>
                </c:pt>
                <c:pt idx="7">
                  <c:v>August</c:v>
                </c:pt>
                <c:pt idx="8">
                  <c:v>Sept</c:v>
                </c:pt>
                <c:pt idx="9">
                  <c:v>Oct</c:v>
                </c:pt>
                <c:pt idx="10">
                  <c:v>Nov</c:v>
                </c:pt>
                <c:pt idx="11">
                  <c:v>Dec</c:v>
                </c:pt>
              </c:strCache>
            </c:strRef>
          </c:cat>
          <c:val>
            <c:numRef>
              <c:f>'2020 Nat. Gas Entry Form'!$D$19:$D$30</c:f>
              <c:numCache>
                <c:formatCode>"$"#,##0.000000_);[Red]\("$"#,##0.000000\)</c:formatCode>
                <c:ptCount val="12"/>
                <c:pt idx="0">
                  <c:v>0.67561099999999996</c:v>
                </c:pt>
                <c:pt idx="1">
                  <c:v>0.60801499999999997</c:v>
                </c:pt>
                <c:pt idx="2">
                  <c:v>0.59202100000000002</c:v>
                </c:pt>
                <c:pt idx="3">
                  <c:v>0.56552400000000003</c:v>
                </c:pt>
                <c:pt idx="4">
                  <c:v>0.48159600000000002</c:v>
                </c:pt>
                <c:pt idx="5">
                  <c:v>0.48159600000000002</c:v>
                </c:pt>
                <c:pt idx="6">
                  <c:v>0.48159600000000002</c:v>
                </c:pt>
                <c:pt idx="7">
                  <c:v>0.48159600000000002</c:v>
                </c:pt>
                <c:pt idx="8">
                  <c:v>0.48159600000000002</c:v>
                </c:pt>
                <c:pt idx="9">
                  <c:v>0.53441799999999995</c:v>
                </c:pt>
                <c:pt idx="10">
                  <c:v>0.62539800000000001</c:v>
                </c:pt>
                <c:pt idx="11">
                  <c:v>0.83319799999999999</c:v>
                </c:pt>
              </c:numCache>
            </c:numRef>
          </c:val>
          <c:extLst>
            <c:ext xmlns:c16="http://schemas.microsoft.com/office/drawing/2014/chart" uri="{C3380CC4-5D6E-409C-BE32-E72D297353CC}">
              <c16:uniqueId val="{00000002-B392-4340-A435-F4A4417E9916}"/>
            </c:ext>
          </c:extLst>
        </c:ser>
        <c:dLbls>
          <c:showLegendKey val="0"/>
          <c:showVal val="0"/>
          <c:showCatName val="0"/>
          <c:showSerName val="0"/>
          <c:showPercent val="0"/>
          <c:showBubbleSize val="0"/>
        </c:dLbls>
        <c:gapWidth val="219"/>
        <c:overlap val="-27"/>
        <c:axId val="1916912208"/>
        <c:axId val="1916916368"/>
      </c:barChart>
      <c:catAx>
        <c:axId val="19169122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6916368"/>
        <c:crosses val="autoZero"/>
        <c:auto val="1"/>
        <c:lblAlgn val="ctr"/>
        <c:lblOffset val="100"/>
        <c:noMultiLvlLbl val="0"/>
      </c:catAx>
      <c:valAx>
        <c:axId val="1916916368"/>
        <c:scaling>
          <c:orientation val="minMax"/>
        </c:scaling>
        <c:delete val="0"/>
        <c:axPos val="l"/>
        <c:numFmt formatCode="&quot;$&quot;#,##0.00_);[Red]\(&quot;$&quot;#,##0.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6912208"/>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Natural Gas Supply Prices per therm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'2020 Nat. Gas Entry Form'!$B$37</c:f>
              <c:strCache>
                <c:ptCount val="1"/>
                <c:pt idx="0">
                  <c:v>2021</c:v>
                </c:pt>
              </c:strCache>
            </c:strRef>
          </c:tx>
          <c:spPr>
            <a:solidFill>
              <a:schemeClr val="accent1"/>
            </a:solidFill>
            <a:ln>
              <a:noFill/>
            </a:ln>
            <a:effectLst/>
          </c:spPr>
          <c:invertIfNegative val="0"/>
          <c:cat>
            <c:strRef>
              <c:f>'2020 Nat. Gas Entry Form'!$A$38:$A$49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'2020 Nat. Gas Entry Form'!$B$38:$B$49</c:f>
              <c:numCache>
                <c:formatCode>"$"#,##0.000000_);[Red]\("$"#,##0.000000\)</c:formatCode>
                <c:ptCount val="12"/>
                <c:pt idx="0">
                  <c:v>0.39274500000000001</c:v>
                </c:pt>
                <c:pt idx="1">
                  <c:v>0.39233699999999999</c:v>
                </c:pt>
                <c:pt idx="2">
                  <c:v>0.55165699999999995</c:v>
                </c:pt>
                <c:pt idx="3">
                  <c:v>0.87699400000000005</c:v>
                </c:pt>
                <c:pt idx="4">
                  <c:v>0.84223000000000003</c:v>
                </c:pt>
                <c:pt idx="5">
                  <c:v>0.86782499999999996</c:v>
                </c:pt>
                <c:pt idx="6">
                  <c:v>0.91490700000000003</c:v>
                </c:pt>
                <c:pt idx="7">
                  <c:v>0.97256699999999996</c:v>
                </c:pt>
                <c:pt idx="8">
                  <c:v>1.0083949999999999</c:v>
                </c:pt>
                <c:pt idx="9">
                  <c:v>1.143319</c:v>
                </c:pt>
                <c:pt idx="10">
                  <c:v>1.187149</c:v>
                </c:pt>
                <c:pt idx="11">
                  <c:v>0.92234000000000005</c:v>
                </c:pt>
              </c:numCache>
            </c:numRef>
          </c:val>
          <c:extLst>
            <c:ext xmlns:c16="http://schemas.microsoft.com/office/drawing/2014/chart" uri="{C3380CC4-5D6E-409C-BE32-E72D297353CC}">
              <c16:uniqueId val="{00000000-4348-4785-9DAD-6417E30B2071}"/>
            </c:ext>
          </c:extLst>
        </c:ser>
        <c:ser>
          <c:idx val="1"/>
          <c:order val="1"/>
          <c:tx>
            <c:strRef>
              <c:f>'2020 Nat. Gas Entry Form'!$C$37</c:f>
              <c:strCache>
                <c:ptCount val="1"/>
                <c:pt idx="0">
                  <c:v>2020</c:v>
                </c:pt>
              </c:strCache>
            </c:strRef>
          </c:tx>
          <c:spPr>
            <a:solidFill>
              <a:schemeClr val="accent2"/>
            </a:solidFill>
            <a:ln>
              <a:noFill/>
            </a:ln>
            <a:effectLst/>
          </c:spPr>
          <c:invertIfNegative val="0"/>
          <c:cat>
            <c:strRef>
              <c:f>'2020 Nat. Gas Entry Form'!$A$38:$A$49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'2020 Nat. Gas Entry Form'!$C$38:$C$49</c:f>
              <c:numCache>
                <c:formatCode>"$"#,##0.000000_);[Red]\("$"#,##0.000000\)</c:formatCode>
                <c:ptCount val="12"/>
                <c:pt idx="0">
                  <c:v>0.38952100000000001</c:v>
                </c:pt>
                <c:pt idx="1">
                  <c:v>0.36824400000000002</c:v>
                </c:pt>
                <c:pt idx="2">
                  <c:v>0.372421</c:v>
                </c:pt>
                <c:pt idx="3">
                  <c:v>0.29924299999999998</c:v>
                </c:pt>
                <c:pt idx="4">
                  <c:v>0.23657900000000001</c:v>
                </c:pt>
                <c:pt idx="5">
                  <c:v>0.222916</c:v>
                </c:pt>
                <c:pt idx="6">
                  <c:v>0.219195</c:v>
                </c:pt>
                <c:pt idx="7">
                  <c:v>0.253579</c:v>
                </c:pt>
                <c:pt idx="8">
                  <c:v>0.24909899999999999</c:v>
                </c:pt>
                <c:pt idx="9">
                  <c:v>0.25236500000000001</c:v>
                </c:pt>
                <c:pt idx="10">
                  <c:v>0.41870299999999999</c:v>
                </c:pt>
                <c:pt idx="11">
                  <c:v>0.41241299999999997</c:v>
                </c:pt>
              </c:numCache>
            </c:numRef>
          </c:val>
          <c:extLst>
            <c:ext xmlns:c16="http://schemas.microsoft.com/office/drawing/2014/chart" uri="{C3380CC4-5D6E-409C-BE32-E72D297353CC}">
              <c16:uniqueId val="{00000001-4348-4785-9DAD-6417E30B2071}"/>
            </c:ext>
          </c:extLst>
        </c:ser>
        <c:ser>
          <c:idx val="2"/>
          <c:order val="2"/>
          <c:tx>
            <c:strRef>
              <c:f>'2020 Nat. Gas Entry Form'!$D$37</c:f>
              <c:strCache>
                <c:ptCount val="1"/>
                <c:pt idx="0">
                  <c:v>2019</c:v>
                </c:pt>
              </c:strCache>
            </c:strRef>
          </c:tx>
          <c:spPr>
            <a:solidFill>
              <a:schemeClr val="accent3"/>
            </a:solidFill>
            <a:ln>
              <a:noFill/>
            </a:ln>
            <a:effectLst/>
          </c:spPr>
          <c:invertIfNegative val="0"/>
          <c:cat>
            <c:strRef>
              <c:f>'2020 Nat. Gas Entry Form'!$A$38:$A$49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'2020 Nat. Gas Entry Form'!$D$38:$D$49</c:f>
              <c:numCache>
                <c:formatCode>"$"#,##0.000000_);[Red]\("$"#,##0.000000\)</c:formatCode>
                <c:ptCount val="12"/>
                <c:pt idx="0">
                  <c:v>0.471111</c:v>
                </c:pt>
                <c:pt idx="1">
                  <c:v>0.38351499999999999</c:v>
                </c:pt>
                <c:pt idx="2">
                  <c:v>0.36752099999999999</c:v>
                </c:pt>
                <c:pt idx="3">
                  <c:v>0.34102399999999999</c:v>
                </c:pt>
                <c:pt idx="4">
                  <c:v>0.25709599999999999</c:v>
                </c:pt>
                <c:pt idx="5">
                  <c:v>0.24490300000000001</c:v>
                </c:pt>
                <c:pt idx="6">
                  <c:v>0.227599</c:v>
                </c:pt>
                <c:pt idx="7">
                  <c:v>0.235846</c:v>
                </c:pt>
                <c:pt idx="8">
                  <c:v>0.25772099999999998</c:v>
                </c:pt>
                <c:pt idx="9">
                  <c:v>0.30991800000000003</c:v>
                </c:pt>
                <c:pt idx="10">
                  <c:v>0.40089799999999998</c:v>
                </c:pt>
                <c:pt idx="11">
                  <c:v>0.40809800000000002</c:v>
                </c:pt>
              </c:numCache>
            </c:numRef>
          </c:val>
          <c:extLst>
            <c:ext xmlns:c16="http://schemas.microsoft.com/office/drawing/2014/chart" uri="{C3380CC4-5D6E-409C-BE32-E72D297353CC}">
              <c16:uniqueId val="{00000002-4348-4785-9DAD-6417E30B2071}"/>
            </c:ext>
          </c:extLst>
        </c:ser>
        <c:dLbls>
          <c:showLegendKey val="0"/>
          <c:showVal val="0"/>
          <c:showCatName val="0"/>
          <c:showSerName val="0"/>
          <c:showPercent val="0"/>
          <c:showBubbleSize val="0"/>
        </c:dLbls>
        <c:gapWidth val="219"/>
        <c:overlap val="-27"/>
        <c:axId val="1875403168"/>
        <c:axId val="1875405664"/>
      </c:barChart>
      <c:catAx>
        <c:axId val="1875403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75405664"/>
        <c:crossesAt val="0"/>
        <c:auto val="1"/>
        <c:lblAlgn val="ctr"/>
        <c:lblOffset val="100"/>
        <c:noMultiLvlLbl val="0"/>
      </c:catAx>
      <c:valAx>
        <c:axId val="187540566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_);[Red]\(&quot;$&quot;#,##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75403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2019-2021 Natural Gas Supply &amp; Distribution Prices per therm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2021</c:v>
          </c:tx>
          <c:spPr>
            <a:solidFill>
              <a:schemeClr val="accent1"/>
            </a:solidFill>
            <a:ln>
              <a:noFill/>
            </a:ln>
            <a:effectLst/>
          </c:spPr>
          <c:invertIfNegative val="0"/>
          <c:cat>
            <c:strLit>
              <c:ptCount val="12"/>
              <c:pt idx="0">
                <c:v>Jan</c:v>
              </c:pt>
              <c:pt idx="1">
                <c:v>Feb</c:v>
              </c:pt>
              <c:pt idx="2">
                <c:v>March</c:v>
              </c:pt>
              <c:pt idx="3">
                <c:v>April</c:v>
              </c:pt>
              <c:pt idx="4">
                <c:v>May</c:v>
              </c:pt>
              <c:pt idx="5">
                <c:v>June</c:v>
              </c:pt>
              <c:pt idx="6">
                <c:v>July</c:v>
              </c:pt>
              <c:pt idx="7">
                <c:v>August</c:v>
              </c:pt>
              <c:pt idx="8">
                <c:v>Sept</c:v>
              </c:pt>
              <c:pt idx="9">
                <c:v>Oct</c:v>
              </c:pt>
              <c:pt idx="10">
                <c:v>Nov</c:v>
              </c:pt>
              <c:pt idx="11">
                <c:v>Dec</c:v>
              </c:pt>
            </c:strLit>
          </c:cat>
          <c:val>
            <c:numLit>
              <c:formatCode>General</c:formatCode>
              <c:ptCount val="12"/>
              <c:pt idx="0">
                <c:v>0.59334500000000001</c:v>
              </c:pt>
              <c:pt idx="1">
                <c:v>0.59293700000000005</c:v>
              </c:pt>
              <c:pt idx="2">
                <c:v>0.75225699999999995</c:v>
              </c:pt>
              <c:pt idx="3">
                <c:v>1.0775939999999999</c:v>
              </c:pt>
              <c:pt idx="4">
                <c:v>1.0428299999999999</c:v>
              </c:pt>
              <c:pt idx="5">
                <c:v>1.068425</c:v>
              </c:pt>
              <c:pt idx="6">
                <c:v>1.115507</c:v>
              </c:pt>
              <c:pt idx="7">
                <c:v>1.1731670000000001</c:v>
              </c:pt>
              <c:pt idx="8">
                <c:v>1.208995</c:v>
              </c:pt>
              <c:pt idx="9">
                <c:v>1.3439190000000001</c:v>
              </c:pt>
              <c:pt idx="10">
                <c:v>1.3877489999999999</c:v>
              </c:pt>
              <c:pt idx="11">
                <c:v>1.17134</c:v>
              </c:pt>
            </c:numLit>
          </c:val>
          <c:extLst>
            <c:ext xmlns:c16="http://schemas.microsoft.com/office/drawing/2014/chart" uri="{C3380CC4-5D6E-409C-BE32-E72D297353CC}">
              <c16:uniqueId val="{00000000-B4EF-4F59-B412-7B03A9A19CB1}"/>
            </c:ext>
          </c:extLst>
        </c:ser>
        <c:ser>
          <c:idx val="1"/>
          <c:order val="1"/>
          <c:tx>
            <c:v>2020</c:v>
          </c:tx>
          <c:spPr>
            <a:solidFill>
              <a:schemeClr val="accent2"/>
            </a:solidFill>
            <a:ln>
              <a:noFill/>
            </a:ln>
            <a:effectLst/>
          </c:spPr>
          <c:invertIfNegative val="0"/>
          <c:cat>
            <c:strLit>
              <c:ptCount val="12"/>
              <c:pt idx="0">
                <c:v>Jan</c:v>
              </c:pt>
              <c:pt idx="1">
                <c:v>Feb</c:v>
              </c:pt>
              <c:pt idx="2">
                <c:v>March</c:v>
              </c:pt>
              <c:pt idx="3">
                <c:v>April</c:v>
              </c:pt>
              <c:pt idx="4">
                <c:v>May</c:v>
              </c:pt>
              <c:pt idx="5">
                <c:v>June</c:v>
              </c:pt>
              <c:pt idx="6">
                <c:v>July</c:v>
              </c:pt>
              <c:pt idx="7">
                <c:v>August</c:v>
              </c:pt>
              <c:pt idx="8">
                <c:v>Sept</c:v>
              </c:pt>
              <c:pt idx="9">
                <c:v>Oct</c:v>
              </c:pt>
              <c:pt idx="10">
                <c:v>Nov</c:v>
              </c:pt>
              <c:pt idx="11">
                <c:v>Dec</c:v>
              </c:pt>
            </c:strLit>
          </c:cat>
          <c:val>
            <c:numLit>
              <c:formatCode>General</c:formatCode>
              <c:ptCount val="12"/>
              <c:pt idx="0">
                <c:v>0.59012100000000001</c:v>
              </c:pt>
              <c:pt idx="1">
                <c:v>0.56884400000000002</c:v>
              </c:pt>
              <c:pt idx="2">
                <c:v>0.573021</c:v>
              </c:pt>
              <c:pt idx="3">
                <c:v>0.49984299999999998</c:v>
              </c:pt>
              <c:pt idx="4">
                <c:v>0.43717899999999998</c:v>
              </c:pt>
              <c:pt idx="5">
                <c:v>0.423516</c:v>
              </c:pt>
              <c:pt idx="6">
                <c:v>0.41979499999999997</c:v>
              </c:pt>
              <c:pt idx="7">
                <c:v>0.454179</c:v>
              </c:pt>
              <c:pt idx="8">
                <c:v>0.44969900000000002</c:v>
              </c:pt>
              <c:pt idx="9">
                <c:v>0.45296500000000001</c:v>
              </c:pt>
              <c:pt idx="10">
                <c:v>0.61930300000000005</c:v>
              </c:pt>
              <c:pt idx="11">
                <c:v>0.61301300000000003</c:v>
              </c:pt>
            </c:numLit>
          </c:val>
          <c:extLst>
            <c:ext xmlns:c16="http://schemas.microsoft.com/office/drawing/2014/chart" uri="{C3380CC4-5D6E-409C-BE32-E72D297353CC}">
              <c16:uniqueId val="{00000001-B4EF-4F59-B412-7B03A9A19CB1}"/>
            </c:ext>
          </c:extLst>
        </c:ser>
        <c:ser>
          <c:idx val="2"/>
          <c:order val="2"/>
          <c:tx>
            <c:v>2019</c:v>
          </c:tx>
          <c:spPr>
            <a:solidFill>
              <a:schemeClr val="accent3"/>
            </a:solidFill>
            <a:ln>
              <a:noFill/>
            </a:ln>
            <a:effectLst/>
          </c:spPr>
          <c:invertIfNegative val="0"/>
          <c:cat>
            <c:strLit>
              <c:ptCount val="12"/>
              <c:pt idx="0">
                <c:v>Jan</c:v>
              </c:pt>
              <c:pt idx="1">
                <c:v>Feb</c:v>
              </c:pt>
              <c:pt idx="2">
                <c:v>March</c:v>
              </c:pt>
              <c:pt idx="3">
                <c:v>April</c:v>
              </c:pt>
              <c:pt idx="4">
                <c:v>May</c:v>
              </c:pt>
              <c:pt idx="5">
                <c:v>June</c:v>
              </c:pt>
              <c:pt idx="6">
                <c:v>July</c:v>
              </c:pt>
              <c:pt idx="7">
                <c:v>August</c:v>
              </c:pt>
              <c:pt idx="8">
                <c:v>Sept</c:v>
              </c:pt>
              <c:pt idx="9">
                <c:v>Oct</c:v>
              </c:pt>
              <c:pt idx="10">
                <c:v>Nov</c:v>
              </c:pt>
              <c:pt idx="11">
                <c:v>Dec</c:v>
              </c:pt>
            </c:strLit>
          </c:cat>
          <c:val>
            <c:numLit>
              <c:formatCode>General</c:formatCode>
              <c:ptCount val="12"/>
              <c:pt idx="0">
                <c:v>0.67561099999999996</c:v>
              </c:pt>
              <c:pt idx="1">
                <c:v>0.60801499999999997</c:v>
              </c:pt>
              <c:pt idx="2">
                <c:v>0.59202100000000002</c:v>
              </c:pt>
              <c:pt idx="3">
                <c:v>0.56552400000000003</c:v>
              </c:pt>
              <c:pt idx="4">
                <c:v>0.48159600000000002</c:v>
              </c:pt>
              <c:pt idx="5">
                <c:v>0.48159600000000002</c:v>
              </c:pt>
              <c:pt idx="6">
                <c:v>0.48159600000000002</c:v>
              </c:pt>
              <c:pt idx="7">
                <c:v>0.48159600000000002</c:v>
              </c:pt>
              <c:pt idx="8">
                <c:v>0.48159600000000002</c:v>
              </c:pt>
              <c:pt idx="9">
                <c:v>0.53441799999999995</c:v>
              </c:pt>
              <c:pt idx="10">
                <c:v>0.62539800000000001</c:v>
              </c:pt>
              <c:pt idx="11">
                <c:v>0.83319799999999999</c:v>
              </c:pt>
            </c:numLit>
          </c:val>
          <c:extLst>
            <c:ext xmlns:c16="http://schemas.microsoft.com/office/drawing/2014/chart" uri="{C3380CC4-5D6E-409C-BE32-E72D297353CC}">
              <c16:uniqueId val="{00000002-B4EF-4F59-B412-7B03A9A19CB1}"/>
            </c:ext>
          </c:extLst>
        </c:ser>
        <c:dLbls>
          <c:showLegendKey val="0"/>
          <c:showVal val="0"/>
          <c:showCatName val="0"/>
          <c:showSerName val="0"/>
          <c:showPercent val="0"/>
          <c:showBubbleSize val="0"/>
        </c:dLbls>
        <c:gapWidth val="219"/>
        <c:overlap val="-27"/>
        <c:axId val="203524576"/>
        <c:axId val="203519168"/>
      </c:barChart>
      <c:catAx>
        <c:axId val="20352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519168"/>
        <c:crosses val="autoZero"/>
        <c:auto val="1"/>
        <c:lblAlgn val="ctr"/>
        <c:lblOffset val="100"/>
        <c:noMultiLvlLbl val="0"/>
      </c:catAx>
      <c:valAx>
        <c:axId val="20351916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_);[Red]\(&quot;$&quot;#,##0.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524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Natural Gas Supply Prices per therm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2021</c:v>
          </c:tx>
          <c:spPr>
            <a:solidFill>
              <a:schemeClr val="accent1"/>
            </a:solidFill>
            <a:ln>
              <a:noFill/>
            </a:ln>
            <a:effectLst/>
          </c:spPr>
          <c:invertIfNegative val="0"/>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pt idx="0">
                <c:v>0.39274500000000001</c:v>
              </c:pt>
              <c:pt idx="1">
                <c:v>0.39233699999999999</c:v>
              </c:pt>
              <c:pt idx="2">
                <c:v>0.55165699999999995</c:v>
              </c:pt>
              <c:pt idx="3">
                <c:v>0.87699400000000005</c:v>
              </c:pt>
              <c:pt idx="4">
                <c:v>0.84223000000000003</c:v>
              </c:pt>
              <c:pt idx="5">
                <c:v>0.86782499999999996</c:v>
              </c:pt>
              <c:pt idx="6">
                <c:v>0.91490700000000003</c:v>
              </c:pt>
              <c:pt idx="7">
                <c:v>0.97256699999999996</c:v>
              </c:pt>
              <c:pt idx="8">
                <c:v>1.0083949999999999</c:v>
              </c:pt>
              <c:pt idx="9">
                <c:v>1.143319</c:v>
              </c:pt>
              <c:pt idx="10">
                <c:v>1.187149</c:v>
              </c:pt>
              <c:pt idx="11">
                <c:v>0.92234000000000005</c:v>
              </c:pt>
            </c:numLit>
          </c:val>
          <c:extLst>
            <c:ext xmlns:c16="http://schemas.microsoft.com/office/drawing/2014/chart" uri="{C3380CC4-5D6E-409C-BE32-E72D297353CC}">
              <c16:uniqueId val="{00000000-E868-43B9-8F80-3656B4467499}"/>
            </c:ext>
          </c:extLst>
        </c:ser>
        <c:ser>
          <c:idx val="1"/>
          <c:order val="1"/>
          <c:tx>
            <c:v>2020</c:v>
          </c:tx>
          <c:spPr>
            <a:solidFill>
              <a:schemeClr val="accent2"/>
            </a:solidFill>
            <a:ln>
              <a:noFill/>
            </a:ln>
            <a:effectLst/>
          </c:spPr>
          <c:invertIfNegative val="0"/>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pt idx="0">
                <c:v>0.38952100000000001</c:v>
              </c:pt>
              <c:pt idx="1">
                <c:v>0.36824400000000002</c:v>
              </c:pt>
              <c:pt idx="2">
                <c:v>0.372421</c:v>
              </c:pt>
              <c:pt idx="3">
                <c:v>0.29924299999999998</c:v>
              </c:pt>
              <c:pt idx="4">
                <c:v>0.23657900000000001</c:v>
              </c:pt>
              <c:pt idx="5">
                <c:v>0.222916</c:v>
              </c:pt>
              <c:pt idx="6">
                <c:v>0.219195</c:v>
              </c:pt>
              <c:pt idx="7">
                <c:v>0.253579</c:v>
              </c:pt>
              <c:pt idx="8">
                <c:v>0.24909899999999999</c:v>
              </c:pt>
              <c:pt idx="9">
                <c:v>0.25236500000000001</c:v>
              </c:pt>
              <c:pt idx="10">
                <c:v>0.41870299999999999</c:v>
              </c:pt>
              <c:pt idx="11">
                <c:v>0.41241299999999997</c:v>
              </c:pt>
            </c:numLit>
          </c:val>
          <c:extLst>
            <c:ext xmlns:c16="http://schemas.microsoft.com/office/drawing/2014/chart" uri="{C3380CC4-5D6E-409C-BE32-E72D297353CC}">
              <c16:uniqueId val="{00000001-E868-43B9-8F80-3656B4467499}"/>
            </c:ext>
          </c:extLst>
        </c:ser>
        <c:ser>
          <c:idx val="2"/>
          <c:order val="2"/>
          <c:tx>
            <c:v>2019</c:v>
          </c:tx>
          <c:spPr>
            <a:solidFill>
              <a:schemeClr val="accent3"/>
            </a:solidFill>
            <a:ln>
              <a:noFill/>
            </a:ln>
            <a:effectLst/>
          </c:spPr>
          <c:invertIfNegative val="0"/>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pt idx="0">
                <c:v>0.471111</c:v>
              </c:pt>
              <c:pt idx="1">
                <c:v>0.38351499999999999</c:v>
              </c:pt>
              <c:pt idx="2">
                <c:v>0.36752099999999999</c:v>
              </c:pt>
              <c:pt idx="3">
                <c:v>0.34102399999999999</c:v>
              </c:pt>
              <c:pt idx="4">
                <c:v>0.25709599999999999</c:v>
              </c:pt>
              <c:pt idx="5">
                <c:v>0.24490300000000001</c:v>
              </c:pt>
              <c:pt idx="6">
                <c:v>0.227599</c:v>
              </c:pt>
              <c:pt idx="7">
                <c:v>0.235846</c:v>
              </c:pt>
              <c:pt idx="8">
                <c:v>0.25772099999999998</c:v>
              </c:pt>
              <c:pt idx="9">
                <c:v>0.30991800000000003</c:v>
              </c:pt>
              <c:pt idx="10">
                <c:v>0.40089799999999998</c:v>
              </c:pt>
              <c:pt idx="11">
                <c:v>0.40809800000000002</c:v>
              </c:pt>
            </c:numLit>
          </c:val>
          <c:extLst>
            <c:ext xmlns:c16="http://schemas.microsoft.com/office/drawing/2014/chart" uri="{C3380CC4-5D6E-409C-BE32-E72D297353CC}">
              <c16:uniqueId val="{00000002-E868-43B9-8F80-3656B4467499}"/>
            </c:ext>
          </c:extLst>
        </c:ser>
        <c:dLbls>
          <c:showLegendKey val="0"/>
          <c:showVal val="0"/>
          <c:showCatName val="0"/>
          <c:showSerName val="0"/>
          <c:showPercent val="0"/>
          <c:showBubbleSize val="0"/>
        </c:dLbls>
        <c:gapWidth val="219"/>
        <c:overlap val="-27"/>
        <c:axId val="203539136"/>
        <c:axId val="203535808"/>
      </c:barChart>
      <c:catAx>
        <c:axId val="2035391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535808"/>
        <c:crosses val="autoZero"/>
        <c:auto val="1"/>
        <c:lblAlgn val="ctr"/>
        <c:lblOffset val="100"/>
        <c:noMultiLvlLbl val="0"/>
      </c:catAx>
      <c:valAx>
        <c:axId val="20353580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_);[Red]\(&quot;$&quot;#,##0.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539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100% Carbon-free Electricity - 2020</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7465250024092558"/>
          <c:y val="8.6102341407007149E-2"/>
          <c:w val="0.43860314770206332"/>
          <c:h val="0.68309755772053926"/>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276-4B24-ACE6-122C844E5D4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276-4B24-ACE6-122C844E5D4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276-4B24-ACE6-122C844E5D4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276-4B24-ACE6-122C844E5D4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276-4B24-ACE6-122C844E5D45}"/>
              </c:ext>
            </c:extLst>
          </c:dPt>
          <c:cat>
            <c:strRef>
              <c:f>ChartCF!$N$34:$N$38</c:f>
              <c:strCache>
                <c:ptCount val="5"/>
                <c:pt idx="0">
                  <c:v>Self-generated Solar PV</c:v>
                </c:pt>
                <c:pt idx="1">
                  <c:v>Community Solar</c:v>
                </c:pt>
                <c:pt idx="2">
                  <c:v>Carbon-free energy in utility generation mix</c:v>
                </c:pt>
                <c:pt idx="3">
                  <c:v>Renewable*Connect</c:v>
                </c:pt>
                <c:pt idx="4">
                  <c:v>Other Utility Green Program</c:v>
                </c:pt>
              </c:strCache>
            </c:strRef>
          </c:cat>
          <c:val>
            <c:numRef>
              <c:f>ChartCF!$O$34:$O$38</c:f>
              <c:numCache>
                <c:formatCode>General</c:formatCode>
                <c:ptCount val="5"/>
              </c:numCache>
            </c:numRef>
          </c:val>
          <c:extLst>
            <c:ext xmlns:c16="http://schemas.microsoft.com/office/drawing/2014/chart" uri="{C3380CC4-5D6E-409C-BE32-E72D297353CC}">
              <c16:uniqueId val="{0000000A-C276-4B24-ACE6-122C844E5D45}"/>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C-C276-4B24-ACE6-122C844E5D4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C276-4B24-ACE6-122C844E5D4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C276-4B24-ACE6-122C844E5D4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C276-4B24-ACE6-122C844E5D4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C276-4B24-ACE6-122C844E5D45}"/>
              </c:ext>
            </c:extLst>
          </c:dPt>
          <c:cat>
            <c:strRef>
              <c:f>ChartCF!$N$34:$N$38</c:f>
              <c:strCache>
                <c:ptCount val="5"/>
                <c:pt idx="0">
                  <c:v>Self-generated Solar PV</c:v>
                </c:pt>
                <c:pt idx="1">
                  <c:v>Community Solar</c:v>
                </c:pt>
                <c:pt idx="2">
                  <c:v>Carbon-free energy in utility generation mix</c:v>
                </c:pt>
                <c:pt idx="3">
                  <c:v>Renewable*Connect</c:v>
                </c:pt>
                <c:pt idx="4">
                  <c:v>Other Utility Green Program</c:v>
                </c:pt>
              </c:strCache>
            </c:strRef>
          </c:cat>
          <c:val>
            <c:numRef>
              <c:f>ChartCF!$P$34:$P$38</c:f>
              <c:numCache>
                <c:formatCode>#,##0</c:formatCode>
                <c:ptCount val="5"/>
                <c:pt idx="0">
                  <c:v>179271</c:v>
                </c:pt>
                <c:pt idx="1">
                  <c:v>209100</c:v>
                </c:pt>
                <c:pt idx="2">
                  <c:v>319792.96000000002</c:v>
                </c:pt>
                <c:pt idx="3">
                  <c:v>246978.16</c:v>
                </c:pt>
                <c:pt idx="4">
                  <c:v>17280.879999999997</c:v>
                </c:pt>
              </c:numCache>
            </c:numRef>
          </c:val>
          <c:extLst>
            <c:ext xmlns:c16="http://schemas.microsoft.com/office/drawing/2014/chart" uri="{C3380CC4-5D6E-409C-BE32-E72D297353CC}">
              <c16:uniqueId val="{00000015-C276-4B24-ACE6-122C844E5D45}"/>
            </c:ext>
          </c:extLst>
        </c:ser>
        <c:ser>
          <c:idx val="2"/>
          <c:order val="2"/>
          <c:dPt>
            <c:idx val="0"/>
            <c:bubble3D val="0"/>
            <c:spPr>
              <a:solidFill>
                <a:schemeClr val="accent1"/>
              </a:solidFill>
              <a:ln w="19050">
                <a:solidFill>
                  <a:schemeClr val="lt1"/>
                </a:solidFill>
              </a:ln>
              <a:effectLst/>
            </c:spPr>
            <c:extLst>
              <c:ext xmlns:c16="http://schemas.microsoft.com/office/drawing/2014/chart" uri="{C3380CC4-5D6E-409C-BE32-E72D297353CC}">
                <c16:uniqueId val="{00000017-C276-4B24-ACE6-122C844E5D4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9-C276-4B24-ACE6-122C844E5D4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B-C276-4B24-ACE6-122C844E5D4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D-C276-4B24-ACE6-122C844E5D4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F-C276-4B24-ACE6-122C844E5D45}"/>
              </c:ext>
            </c:extLst>
          </c:dPt>
          <c:cat>
            <c:strRef>
              <c:f>ChartCF!$N$34:$N$38</c:f>
              <c:strCache>
                <c:ptCount val="5"/>
                <c:pt idx="0">
                  <c:v>Self-generated Solar PV</c:v>
                </c:pt>
                <c:pt idx="1">
                  <c:v>Community Solar</c:v>
                </c:pt>
                <c:pt idx="2">
                  <c:v>Carbon-free energy in utility generation mix</c:v>
                </c:pt>
                <c:pt idx="3">
                  <c:v>Renewable*Connect</c:v>
                </c:pt>
                <c:pt idx="4">
                  <c:v>Other Utility Green Program</c:v>
                </c:pt>
              </c:strCache>
            </c:strRef>
          </c:cat>
          <c:val>
            <c:numRef>
              <c:f>ChartCF!$Q$34:$Q$38</c:f>
              <c:numCache>
                <c:formatCode>0%</c:formatCode>
                <c:ptCount val="5"/>
                <c:pt idx="0">
                  <c:v>0.18435495663924034</c:v>
                </c:pt>
                <c:pt idx="1">
                  <c:v>0.21502987897242248</c:v>
                </c:pt>
                <c:pt idx="2">
                  <c:v>0.32886198701593855</c:v>
                </c:pt>
                <c:pt idx="3">
                  <c:v>0.25398222789876423</c:v>
                </c:pt>
                <c:pt idx="4">
                  <c:v>1.7770949473634414E-2</c:v>
                </c:pt>
              </c:numCache>
            </c:numRef>
          </c:val>
          <c:extLst>
            <c:ext xmlns:c16="http://schemas.microsoft.com/office/drawing/2014/chart" uri="{C3380CC4-5D6E-409C-BE32-E72D297353CC}">
              <c16:uniqueId val="{00000020-C276-4B24-ACE6-122C844E5D45}"/>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r"/>
      <c:layout>
        <c:manualLayout>
          <c:xMode val="edge"/>
          <c:yMode val="edge"/>
          <c:x val="3.5636189369920065E-2"/>
          <c:y val="0.74796434308587678"/>
          <c:w val="0.95025659579735122"/>
          <c:h val="0.2281888885962833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100% Carbon-free Electricity - 2021</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7465250024092558"/>
          <c:y val="8.6102341407007149E-2"/>
          <c:w val="0.43860314770206332"/>
          <c:h val="0.68309755772053926"/>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9D4-4DC2-9EA3-BF36B1E2ABD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9D4-4DC2-9EA3-BF36B1E2ABD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9D4-4DC2-9EA3-BF36B1E2ABD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9D4-4DC2-9EA3-BF36B1E2ABD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9D4-4DC2-9EA3-BF36B1E2ABDF}"/>
              </c:ext>
            </c:extLst>
          </c:dPt>
          <c:cat>
            <c:strRef>
              <c:f>ChartCF!$N$4:$N$8</c:f>
              <c:strCache>
                <c:ptCount val="5"/>
                <c:pt idx="0">
                  <c:v>Self-generated Solar PV</c:v>
                </c:pt>
                <c:pt idx="1">
                  <c:v>Community Solar</c:v>
                </c:pt>
                <c:pt idx="2">
                  <c:v>Carbon-free energy in utility generation mix</c:v>
                </c:pt>
                <c:pt idx="3">
                  <c:v>Renewable*Connect</c:v>
                </c:pt>
                <c:pt idx="4">
                  <c:v>Other Utility Green Program</c:v>
                </c:pt>
              </c:strCache>
            </c:strRef>
          </c:cat>
          <c:val>
            <c:numRef>
              <c:f>ChartCF!$O$4:$O$8</c:f>
              <c:numCache>
                <c:formatCode>General</c:formatCode>
                <c:ptCount val="5"/>
              </c:numCache>
            </c:numRef>
          </c:val>
          <c:extLst>
            <c:ext xmlns:c16="http://schemas.microsoft.com/office/drawing/2014/chart" uri="{C3380CC4-5D6E-409C-BE32-E72D297353CC}">
              <c16:uniqueId val="{0000000A-69D4-4DC2-9EA3-BF36B1E2ABDF}"/>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C-69D4-4DC2-9EA3-BF36B1E2ABD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69D4-4DC2-9EA3-BF36B1E2ABD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69D4-4DC2-9EA3-BF36B1E2ABD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69D4-4DC2-9EA3-BF36B1E2ABD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69D4-4DC2-9EA3-BF36B1E2ABDF}"/>
              </c:ext>
            </c:extLst>
          </c:dPt>
          <c:cat>
            <c:strRef>
              <c:f>ChartCF!$N$4:$N$8</c:f>
              <c:strCache>
                <c:ptCount val="5"/>
                <c:pt idx="0">
                  <c:v>Self-generated Solar PV</c:v>
                </c:pt>
                <c:pt idx="1">
                  <c:v>Community Solar</c:v>
                </c:pt>
                <c:pt idx="2">
                  <c:v>Carbon-free energy in utility generation mix</c:v>
                </c:pt>
                <c:pt idx="3">
                  <c:v>Renewable*Connect</c:v>
                </c:pt>
                <c:pt idx="4">
                  <c:v>Other Utility Green Program</c:v>
                </c:pt>
              </c:strCache>
            </c:strRef>
          </c:cat>
          <c:val>
            <c:numRef>
              <c:f>ChartCF!$P$4:$P$8</c:f>
              <c:numCache>
                <c:formatCode>#,##0</c:formatCode>
                <c:ptCount val="5"/>
                <c:pt idx="0">
                  <c:v>184401</c:v>
                </c:pt>
                <c:pt idx="1">
                  <c:v>211051</c:v>
                </c:pt>
                <c:pt idx="2">
                  <c:v>350267.16000000003</c:v>
                </c:pt>
                <c:pt idx="3">
                  <c:v>220031.8</c:v>
                </c:pt>
                <c:pt idx="4">
                  <c:v>26154.639999999999</c:v>
                </c:pt>
              </c:numCache>
            </c:numRef>
          </c:val>
          <c:extLst>
            <c:ext xmlns:c16="http://schemas.microsoft.com/office/drawing/2014/chart" uri="{C3380CC4-5D6E-409C-BE32-E72D297353CC}">
              <c16:uniqueId val="{00000015-69D4-4DC2-9EA3-BF36B1E2ABDF}"/>
            </c:ext>
          </c:extLst>
        </c:ser>
        <c:ser>
          <c:idx val="2"/>
          <c:order val="2"/>
          <c:dPt>
            <c:idx val="0"/>
            <c:bubble3D val="0"/>
            <c:spPr>
              <a:solidFill>
                <a:schemeClr val="accent1"/>
              </a:solidFill>
              <a:ln w="19050">
                <a:solidFill>
                  <a:schemeClr val="lt1"/>
                </a:solidFill>
              </a:ln>
              <a:effectLst/>
            </c:spPr>
            <c:extLst>
              <c:ext xmlns:c16="http://schemas.microsoft.com/office/drawing/2014/chart" uri="{C3380CC4-5D6E-409C-BE32-E72D297353CC}">
                <c16:uniqueId val="{00000017-69D4-4DC2-9EA3-BF36B1E2ABD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9-69D4-4DC2-9EA3-BF36B1E2ABD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B-69D4-4DC2-9EA3-BF36B1E2ABD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D-69D4-4DC2-9EA3-BF36B1E2ABD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F-69D4-4DC2-9EA3-BF36B1E2ABDF}"/>
              </c:ext>
            </c:extLst>
          </c:dPt>
          <c:cat>
            <c:strRef>
              <c:f>ChartCF!$N$4:$N$8</c:f>
              <c:strCache>
                <c:ptCount val="5"/>
                <c:pt idx="0">
                  <c:v>Self-generated Solar PV</c:v>
                </c:pt>
                <c:pt idx="1">
                  <c:v>Community Solar</c:v>
                </c:pt>
                <c:pt idx="2">
                  <c:v>Carbon-free energy in utility generation mix</c:v>
                </c:pt>
                <c:pt idx="3">
                  <c:v>Renewable*Connect</c:v>
                </c:pt>
                <c:pt idx="4">
                  <c:v>Other Utility Green Program</c:v>
                </c:pt>
              </c:strCache>
            </c:strRef>
          </c:cat>
          <c:val>
            <c:numRef>
              <c:f>ChartCF!$Q$4:$Q$8</c:f>
              <c:numCache>
                <c:formatCode>0%</c:formatCode>
                <c:ptCount val="5"/>
                <c:pt idx="0">
                  <c:v>0.18590579587412351</c:v>
                </c:pt>
                <c:pt idx="1">
                  <c:v>0.21277327197265547</c:v>
                </c:pt>
                <c:pt idx="2">
                  <c:v>0.35312549903942475</c:v>
                </c:pt>
                <c:pt idx="3">
                  <c:v>0.22182735937774722</c:v>
                </c:pt>
                <c:pt idx="4">
                  <c:v>2.6368073736049075E-2</c:v>
                </c:pt>
              </c:numCache>
            </c:numRef>
          </c:val>
          <c:extLst>
            <c:ext xmlns:c16="http://schemas.microsoft.com/office/drawing/2014/chart" uri="{C3380CC4-5D6E-409C-BE32-E72D297353CC}">
              <c16:uniqueId val="{00000020-69D4-4DC2-9EA3-BF36B1E2ABDF}"/>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r"/>
      <c:layout>
        <c:manualLayout>
          <c:xMode val="edge"/>
          <c:yMode val="edge"/>
          <c:x val="3.5636189369920065E-2"/>
          <c:y val="0.74796434308587678"/>
          <c:w val="0.95025659579735122"/>
          <c:h val="0.2281888885962833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9</xdr:col>
      <xdr:colOff>600075</xdr:colOff>
      <xdr:row>17</xdr:row>
      <xdr:rowOff>566737</xdr:rowOff>
    </xdr:from>
    <xdr:to>
      <xdr:col>16</xdr:col>
      <xdr:colOff>333375</xdr:colOff>
      <xdr:row>32</xdr:row>
      <xdr:rowOff>71437</xdr:rowOff>
    </xdr:to>
    <xdr:graphicFrame macro="">
      <xdr:nvGraphicFramePr>
        <xdr:cNvPr id="2" name="Chart 1">
          <a:extLst>
            <a:ext uri="{FF2B5EF4-FFF2-40B4-BE49-F238E27FC236}">
              <a16:creationId xmlns:a16="http://schemas.microsoft.com/office/drawing/2014/main" id="{75D69320-9A6D-4170-8D85-777640BFA1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35</xdr:row>
      <xdr:rowOff>185737</xdr:rowOff>
    </xdr:from>
    <xdr:to>
      <xdr:col>11</xdr:col>
      <xdr:colOff>295275</xdr:colOff>
      <xdr:row>50</xdr:row>
      <xdr:rowOff>71437</xdr:rowOff>
    </xdr:to>
    <xdr:graphicFrame macro="">
      <xdr:nvGraphicFramePr>
        <xdr:cNvPr id="3" name="Chart 2">
          <a:extLst>
            <a:ext uri="{FF2B5EF4-FFF2-40B4-BE49-F238E27FC236}">
              <a16:creationId xmlns:a16="http://schemas.microsoft.com/office/drawing/2014/main" id="{7635F127-7BF4-4CA2-AD15-7E4080ED10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8</xdr:col>
      <xdr:colOff>304800</xdr:colOff>
      <xdr:row>15</xdr:row>
      <xdr:rowOff>76200</xdr:rowOff>
    </xdr:to>
    <xdr:graphicFrame macro="">
      <xdr:nvGraphicFramePr>
        <xdr:cNvPr id="2" name="Chart 1">
          <a:extLst>
            <a:ext uri="{FF2B5EF4-FFF2-40B4-BE49-F238E27FC236}">
              <a16:creationId xmlns:a16="http://schemas.microsoft.com/office/drawing/2014/main" id="{D8589588-7456-4494-9C5F-4FE669A52A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17</xdr:row>
      <xdr:rowOff>0</xdr:rowOff>
    </xdr:from>
    <xdr:to>
      <xdr:col>8</xdr:col>
      <xdr:colOff>304800</xdr:colOff>
      <xdr:row>31</xdr:row>
      <xdr:rowOff>76200</xdr:rowOff>
    </xdr:to>
    <xdr:graphicFrame macro="">
      <xdr:nvGraphicFramePr>
        <xdr:cNvPr id="3" name="Chart 2">
          <a:extLst>
            <a:ext uri="{FF2B5EF4-FFF2-40B4-BE49-F238E27FC236}">
              <a16:creationId xmlns:a16="http://schemas.microsoft.com/office/drawing/2014/main" id="{DA018899-6A31-419A-A81B-3D99E22E34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379095</xdr:colOff>
      <xdr:row>31</xdr:row>
      <xdr:rowOff>11430</xdr:rowOff>
    </xdr:from>
    <xdr:to>
      <xdr:col>12</xdr:col>
      <xdr:colOff>120015</xdr:colOff>
      <xdr:row>57</xdr:row>
      <xdr:rowOff>59055</xdr:rowOff>
    </xdr:to>
    <xdr:graphicFrame macro="">
      <xdr:nvGraphicFramePr>
        <xdr:cNvPr id="2" name="Chart 1">
          <a:extLst>
            <a:ext uri="{FF2B5EF4-FFF2-40B4-BE49-F238E27FC236}">
              <a16:creationId xmlns:a16="http://schemas.microsoft.com/office/drawing/2014/main" id="{DBFCBD4B-1D38-4CAB-8183-7F184FFA4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447675</xdr:colOff>
      <xdr:row>1</xdr:row>
      <xdr:rowOff>142875</xdr:rowOff>
    </xdr:from>
    <xdr:to>
      <xdr:col>12</xdr:col>
      <xdr:colOff>188595</xdr:colOff>
      <xdr:row>27</xdr:row>
      <xdr:rowOff>180975</xdr:rowOff>
    </xdr:to>
    <xdr:graphicFrame macro="">
      <xdr:nvGraphicFramePr>
        <xdr:cNvPr id="3" name="Chart 2">
          <a:extLst>
            <a:ext uri="{FF2B5EF4-FFF2-40B4-BE49-F238E27FC236}">
              <a16:creationId xmlns:a16="http://schemas.microsoft.com/office/drawing/2014/main" id="{ED0ED9FC-E4D9-4878-B787-47D0781E41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FAFEC-9E36-4D93-ACA1-B57D668E81CD}">
  <sheetPr>
    <pageSetUpPr fitToPage="1"/>
  </sheetPr>
  <dimension ref="A1:X24"/>
  <sheetViews>
    <sheetView tabSelected="1" workbookViewId="0">
      <selection activeCell="B3" sqref="B3"/>
    </sheetView>
  </sheetViews>
  <sheetFormatPr defaultRowHeight="15" x14ac:dyDescent="0.25"/>
  <cols>
    <col min="1" max="1" width="21.140625" customWidth="1"/>
    <col min="2" max="2" width="11.28515625" customWidth="1"/>
    <col min="3" max="3" width="11.140625" customWidth="1"/>
    <col min="4" max="4" width="11.85546875" customWidth="1"/>
    <col min="5" max="5" width="11.5703125" customWidth="1"/>
    <col min="6" max="6" width="11" customWidth="1"/>
    <col min="7" max="7" width="9.42578125" customWidth="1"/>
    <col min="9" max="9" width="9.85546875" customWidth="1"/>
    <col min="10" max="11" width="10" customWidth="1"/>
    <col min="12" max="12" width="10.140625" customWidth="1"/>
    <col min="13" max="13" width="9.5703125" customWidth="1"/>
    <col min="15" max="15" width="10.85546875" customWidth="1"/>
    <col min="16" max="16" width="11" customWidth="1"/>
  </cols>
  <sheetData>
    <row r="1" spans="1:24" ht="18.75" x14ac:dyDescent="0.3">
      <c r="A1" s="242" t="s">
        <v>220</v>
      </c>
      <c r="B1" s="243"/>
      <c r="C1" s="243"/>
      <c r="D1" s="243"/>
      <c r="E1" s="243"/>
      <c r="F1" s="243"/>
      <c r="G1" s="243"/>
      <c r="H1" s="243"/>
      <c r="I1" s="243"/>
      <c r="J1" s="243"/>
      <c r="K1" s="243"/>
      <c r="L1" s="243"/>
      <c r="M1" s="243"/>
      <c r="N1" s="243"/>
      <c r="O1" s="243"/>
      <c r="P1" s="243"/>
      <c r="Q1" s="243"/>
      <c r="R1" s="243"/>
      <c r="S1" s="244"/>
    </row>
    <row r="2" spans="1:24" ht="42" customHeight="1" x14ac:dyDescent="0.25">
      <c r="A2" s="73"/>
      <c r="B2" s="68" t="s">
        <v>304</v>
      </c>
      <c r="C2" s="223" t="s">
        <v>256</v>
      </c>
      <c r="D2" s="68" t="s">
        <v>255</v>
      </c>
      <c r="E2" s="223" t="s">
        <v>254</v>
      </c>
      <c r="F2" s="68" t="s">
        <v>253</v>
      </c>
      <c r="G2" s="68" t="s">
        <v>109</v>
      </c>
      <c r="H2" s="68" t="s">
        <v>305</v>
      </c>
      <c r="I2" s="223" t="s">
        <v>152</v>
      </c>
      <c r="J2" s="68" t="s">
        <v>99</v>
      </c>
      <c r="K2" s="223" t="s">
        <v>101</v>
      </c>
      <c r="L2" s="68" t="s">
        <v>100</v>
      </c>
      <c r="M2" s="68" t="s">
        <v>306</v>
      </c>
      <c r="N2" s="224" t="s">
        <v>153</v>
      </c>
      <c r="O2" s="58" t="s">
        <v>67</v>
      </c>
      <c r="P2" s="225" t="s">
        <v>66</v>
      </c>
      <c r="Q2" s="58" t="s">
        <v>65</v>
      </c>
      <c r="R2" s="68" t="s">
        <v>363</v>
      </c>
      <c r="S2" s="74" t="s">
        <v>290</v>
      </c>
      <c r="T2" s="3" t="s">
        <v>399</v>
      </c>
      <c r="U2" s="3" t="s">
        <v>400</v>
      </c>
      <c r="V2" t="s">
        <v>313</v>
      </c>
      <c r="W2" t="s">
        <v>77</v>
      </c>
      <c r="X2" s="3" t="s">
        <v>401</v>
      </c>
    </row>
    <row r="3" spans="1:24" x14ac:dyDescent="0.25">
      <c r="A3" s="30" t="s">
        <v>252</v>
      </c>
      <c r="B3" s="203">
        <f>'Electrcity Entry Form'!C23</f>
        <v>991906</v>
      </c>
      <c r="C3" s="135">
        <f>'Electrcity Entry Form'!E23</f>
        <v>972423</v>
      </c>
      <c r="D3" s="83">
        <f>'Electrcity Entry Form'!G23</f>
        <v>987005.13170388155</v>
      </c>
      <c r="E3" s="139">
        <f>'Electrcity Entry Form'!I23</f>
        <v>989433.67779632728</v>
      </c>
      <c r="F3" s="36">
        <f>'Electrcity Entry Form'!K23</f>
        <v>973801.93489148584</v>
      </c>
      <c r="G3" s="33">
        <v>3412</v>
      </c>
      <c r="H3" s="64">
        <f>($G$3*B3)/1000000</f>
        <v>3384.383272</v>
      </c>
      <c r="I3" s="139">
        <f>($G$3*C3)/1000000</f>
        <v>3317.9072759999999</v>
      </c>
      <c r="J3" s="64">
        <f>($G$3*D3)/1000000</f>
        <v>3367.6615093736441</v>
      </c>
      <c r="K3" s="139">
        <f>($G$3*E3)/1000000</f>
        <v>3375.9477086410684</v>
      </c>
      <c r="L3" s="64">
        <f>($G$3*F3)/1000000</f>
        <v>3322.6122018497495</v>
      </c>
      <c r="M3" s="84">
        <f>'Electrcity Entry Form'!D23</f>
        <v>69026.03</v>
      </c>
      <c r="N3" s="144">
        <f>'Electrcity Entry Form'!F23</f>
        <v>63644</v>
      </c>
      <c r="O3" s="84">
        <f>'Electrcity Entry Form'!H23</f>
        <v>74257.89</v>
      </c>
      <c r="P3" s="146">
        <f>'Electrcity Entry Form'!J23</f>
        <v>85774</v>
      </c>
      <c r="Q3" s="84">
        <f>'Electrcity Entry Form'!L23</f>
        <v>97368</v>
      </c>
      <c r="R3" s="85">
        <f>1-M3/Q3</f>
        <v>0.29108095062032702</v>
      </c>
      <c r="S3" s="86">
        <f>1-N3/Q3</f>
        <v>0.34635609235066966</v>
      </c>
      <c r="T3" s="2">
        <f>H3/$H$12</f>
        <v>0.13730283427823983</v>
      </c>
      <c r="V3" s="5">
        <f>M3</f>
        <v>69026.03</v>
      </c>
      <c r="W3" s="5">
        <f>Q3</f>
        <v>97368</v>
      </c>
      <c r="X3" s="2">
        <f>1-V3/W3</f>
        <v>0.29108095062032702</v>
      </c>
    </row>
    <row r="4" spans="1:24" x14ac:dyDescent="0.25">
      <c r="A4" s="30" t="s">
        <v>0</v>
      </c>
      <c r="B4" s="31"/>
      <c r="C4" s="136"/>
      <c r="D4" s="33"/>
      <c r="E4" s="140"/>
      <c r="F4" s="33"/>
      <c r="G4" s="33"/>
      <c r="H4" s="33"/>
      <c r="I4" s="140"/>
      <c r="J4" s="33"/>
      <c r="K4" s="140"/>
      <c r="L4" s="33"/>
      <c r="M4" s="84"/>
      <c r="N4" s="140"/>
      <c r="O4" s="33"/>
      <c r="P4" s="140"/>
      <c r="Q4" s="33"/>
      <c r="R4" s="33"/>
      <c r="S4" s="44"/>
    </row>
    <row r="5" spans="1:24" x14ac:dyDescent="0.25">
      <c r="A5" s="39" t="s">
        <v>98</v>
      </c>
      <c r="B5" s="64">
        <f>'Fleet Fuel'!B13</f>
        <v>40315</v>
      </c>
      <c r="C5" s="137">
        <f>'Fleet Fuel'!D13</f>
        <v>38004</v>
      </c>
      <c r="D5" s="64">
        <f>'Fleet Fuel'!F13</f>
        <v>34479</v>
      </c>
      <c r="E5" s="139">
        <f>'Fleet Fuel'!H13</f>
        <v>32932</v>
      </c>
      <c r="F5" s="36">
        <f>'Fleet Fuel'!J13</f>
        <v>36342</v>
      </c>
      <c r="G5" s="33">
        <v>114000</v>
      </c>
      <c r="H5" s="87">
        <f>($G$5*B5)/1000000</f>
        <v>4595.91</v>
      </c>
      <c r="I5" s="137">
        <f>($G$5*C5)/1000000</f>
        <v>4332.4560000000001</v>
      </c>
      <c r="J5" s="87">
        <f>($G$5*D5)/1000000</f>
        <v>3930.6060000000002</v>
      </c>
      <c r="K5" s="143">
        <f>($G$5*E5)/1000000</f>
        <v>3754.248</v>
      </c>
      <c r="L5" s="87">
        <f>($G$5*F5)/1000000</f>
        <v>4142.9880000000003</v>
      </c>
      <c r="M5" s="84">
        <f>'Fleet Fuel'!C13</f>
        <v>86374.317575209221</v>
      </c>
      <c r="N5" s="144">
        <f>'Fleet Fuel'!E13</f>
        <v>50001.592974354746</v>
      </c>
      <c r="O5" s="35">
        <f>'Fleet Fuel'!G13</f>
        <v>72386.243405159912</v>
      </c>
      <c r="P5" s="146">
        <f>'Fleet Fuel'!I13</f>
        <v>82589.080419580423</v>
      </c>
      <c r="Q5" s="35">
        <f>'Fleet Fuel'!K13</f>
        <v>81329.647464444774</v>
      </c>
      <c r="R5" s="85">
        <f t="shared" ref="R5:R7" si="0">1-M5/Q5</f>
        <v>-6.2027443472810528E-2</v>
      </c>
      <c r="S5" s="86">
        <f t="shared" ref="S5:S7" si="1">1-N5/Q5</f>
        <v>0.38519845427567911</v>
      </c>
      <c r="T5" s="2">
        <f t="shared" ref="T5:T7" si="2">H5/$H$12</f>
        <v>0.18645390263815997</v>
      </c>
    </row>
    <row r="6" spans="1:24" x14ac:dyDescent="0.25">
      <c r="A6" s="39" t="s">
        <v>1</v>
      </c>
      <c r="B6" s="64">
        <f>'Fleet Fuel'!B12</f>
        <v>51520</v>
      </c>
      <c r="C6" s="137">
        <f>'Fleet Fuel'!D12</f>
        <v>57844</v>
      </c>
      <c r="D6" s="64">
        <f>'Fleet Fuel'!F12</f>
        <v>69218</v>
      </c>
      <c r="E6" s="139">
        <f>'Fleet Fuel'!H12</f>
        <v>65287</v>
      </c>
      <c r="F6" s="36">
        <f>'Fleet Fuel'!J12</f>
        <v>77534</v>
      </c>
      <c r="G6" s="33">
        <v>138874</v>
      </c>
      <c r="H6" s="87">
        <f t="shared" ref="H6:H7" si="3">($G$5*B6)/1000000</f>
        <v>5873.28</v>
      </c>
      <c r="I6" s="137">
        <f>($G$6*C6)/1000000</f>
        <v>8033.0276560000002</v>
      </c>
      <c r="J6" s="87">
        <f>($G$6*D6)/1000000</f>
        <v>9612.5805319999999</v>
      </c>
      <c r="K6" s="143">
        <f>($G$6*E6)/1000000</f>
        <v>9066.6668379999992</v>
      </c>
      <c r="L6" s="87">
        <f>($G$6*F6)/1000000</f>
        <v>10767.456716000001</v>
      </c>
      <c r="M6" s="84">
        <f>'Fleet Fuel'!C12</f>
        <v>142030</v>
      </c>
      <c r="N6" s="144">
        <f>'Fleet Fuel'!E12</f>
        <v>135711</v>
      </c>
      <c r="O6" s="35">
        <f>'Fleet Fuel'!G12</f>
        <v>172275</v>
      </c>
      <c r="P6" s="146">
        <f>'Fleet Fuel'!I12</f>
        <v>166321</v>
      </c>
      <c r="Q6" s="35">
        <f>'Fleet Fuel'!K12</f>
        <v>167411</v>
      </c>
      <c r="R6" s="85">
        <f t="shared" si="0"/>
        <v>0.1516089145874524</v>
      </c>
      <c r="S6" s="86">
        <f t="shared" si="1"/>
        <v>0.18935434350192037</v>
      </c>
      <c r="T6" s="2">
        <f t="shared" si="2"/>
        <v>0.2382762015110505</v>
      </c>
    </row>
    <row r="7" spans="1:24" x14ac:dyDescent="0.25">
      <c r="A7" s="39" t="s">
        <v>107</v>
      </c>
      <c r="B7" s="42">
        <f>'Fleet Fuel'!B10</f>
        <v>7090.6638677512465</v>
      </c>
      <c r="C7" s="137">
        <f>'Fleet Fuel'!D10</f>
        <v>5959.0553660456571</v>
      </c>
      <c r="D7" s="64">
        <f>'Fleet Fuel'!F10</f>
        <v>4760</v>
      </c>
      <c r="E7" s="139">
        <f>'Fleet Fuel'!H10</f>
        <v>3596</v>
      </c>
      <c r="F7" s="36">
        <f>'Fleet Fuel'!J10</f>
        <v>3750</v>
      </c>
      <c r="G7" s="33">
        <v>100000</v>
      </c>
      <c r="H7" s="87">
        <f t="shared" si="3"/>
        <v>808.33568092364203</v>
      </c>
      <c r="I7" s="137">
        <f>C7*$G$7/1000000</f>
        <v>595.90553660456578</v>
      </c>
      <c r="J7" s="87">
        <f>D7*$G$7/1000000</f>
        <v>476</v>
      </c>
      <c r="K7" s="143">
        <f>E7*$G$7/1000000</f>
        <v>359.6</v>
      </c>
      <c r="L7" s="87">
        <f>F7*$G$7/1000000</f>
        <v>375</v>
      </c>
      <c r="M7" s="84">
        <f>'Fleet Fuel'!C10</f>
        <v>5951.7053028907558</v>
      </c>
      <c r="N7" s="144">
        <f>'Fleet Fuel'!E10</f>
        <v>3546.829753870375</v>
      </c>
      <c r="O7" s="35">
        <f>'Fleet Fuel'!G10</f>
        <v>2833.1519999999996</v>
      </c>
      <c r="P7" s="146">
        <f>'Fleet Fuel'!I10</f>
        <v>2394.9360000000001</v>
      </c>
      <c r="Q7" s="35">
        <f>'Fleet Fuel'!K10</f>
        <v>2355</v>
      </c>
      <c r="R7" s="85">
        <f t="shared" si="0"/>
        <v>-1.5272633982550978</v>
      </c>
      <c r="S7" s="86">
        <f t="shared" si="1"/>
        <v>-0.50608482117637998</v>
      </c>
      <c r="T7" s="2">
        <f t="shared" si="2"/>
        <v>3.2793797604802423E-2</v>
      </c>
      <c r="V7" s="241">
        <f>SUM(M5:M7)</f>
        <v>234356.02287809999</v>
      </c>
      <c r="W7" s="241">
        <f>SUM(Q5:Q7)</f>
        <v>251095.64746444477</v>
      </c>
      <c r="X7" s="2">
        <f>1-V7/W7</f>
        <v>6.666632717604204E-2</v>
      </c>
    </row>
    <row r="8" spans="1:24" x14ac:dyDescent="0.25">
      <c r="A8" s="30" t="s">
        <v>108</v>
      </c>
      <c r="B8" s="31"/>
      <c r="C8" s="138"/>
      <c r="D8" s="33"/>
      <c r="E8" s="140"/>
      <c r="F8" s="33"/>
      <c r="G8" s="33"/>
      <c r="H8" s="33"/>
      <c r="I8" s="141"/>
      <c r="J8" s="33"/>
      <c r="K8" s="140"/>
      <c r="L8" s="33"/>
      <c r="M8" s="84"/>
      <c r="N8" s="140"/>
      <c r="O8" s="33"/>
      <c r="P8" s="140"/>
      <c r="Q8" s="33"/>
      <c r="R8" s="33"/>
      <c r="S8" s="44"/>
    </row>
    <row r="9" spans="1:24" x14ac:dyDescent="0.25">
      <c r="A9" s="39" t="s">
        <v>2</v>
      </c>
      <c r="B9" s="36">
        <f>'Nat. Gas Summary'!B18</f>
        <v>75641.336132248747</v>
      </c>
      <c r="C9" s="137">
        <f>'Nat. Gas Summary'!D18</f>
        <v>66641.979855184036</v>
      </c>
      <c r="D9" s="64">
        <f>'Nat. Gas Summary'!F18</f>
        <v>75731</v>
      </c>
      <c r="E9" s="139">
        <f>'Nat. Gas Summary'!H18</f>
        <v>71320</v>
      </c>
      <c r="F9" s="36">
        <f>'Nat. Gas Summary'!J18</f>
        <v>63965</v>
      </c>
      <c r="G9" s="33">
        <v>100000</v>
      </c>
      <c r="H9" s="204">
        <f>($G$5*B9)/1000000</f>
        <v>8623.1123190763574</v>
      </c>
      <c r="I9" s="137">
        <f>($G$9*C9)/1000000</f>
        <v>6664.1979855184036</v>
      </c>
      <c r="J9" s="64">
        <f>($G$9*D9)/1000000</f>
        <v>7573.1</v>
      </c>
      <c r="K9" s="139">
        <f>($G$9*E9)/1000000</f>
        <v>7132</v>
      </c>
      <c r="L9" s="64">
        <f>($G$9*F9)/1000000</f>
        <v>6396.5</v>
      </c>
      <c r="M9" s="84">
        <f>'Nat. Gas Summary'!C18</f>
        <v>74930.69469710924</v>
      </c>
      <c r="N9" s="149">
        <f>'Nat. Gas Summary'!E18</f>
        <v>40156.430246129632</v>
      </c>
      <c r="O9" s="35">
        <f>'Nat. Gas Summary'!G18</f>
        <v>47733.847999999998</v>
      </c>
      <c r="P9" s="146">
        <f>'Nat. Gas Summary'!I18</f>
        <v>48523.063999999998</v>
      </c>
      <c r="Q9" s="84">
        <f>'Nat. Gas Summary'!K18</f>
        <v>41935</v>
      </c>
      <c r="R9" s="85">
        <f t="shared" ref="R9:R10" si="4">1-M9/Q9</f>
        <v>-0.78682949080980658</v>
      </c>
      <c r="S9" s="86">
        <f t="shared" ref="S9:S10" si="5">1-N9/Q9</f>
        <v>4.2412537352339741E-2</v>
      </c>
      <c r="T9" s="2">
        <f t="shared" ref="T9:T10" si="6">H9/$H$12</f>
        <v>0.34983560269434799</v>
      </c>
    </row>
    <row r="10" spans="1:24" x14ac:dyDescent="0.25">
      <c r="A10" s="39" t="s">
        <v>3</v>
      </c>
      <c r="B10" s="36">
        <f>Propane!B5</f>
        <v>14907</v>
      </c>
      <c r="C10" s="137">
        <f>Propane!C5</f>
        <v>15362</v>
      </c>
      <c r="D10" s="64">
        <f>Propane!D5</f>
        <v>16667.536988685813</v>
      </c>
      <c r="E10" s="139">
        <f>Propane!E5</f>
        <v>17678.260869565216</v>
      </c>
      <c r="F10" s="36">
        <f>Propane!F5</f>
        <v>15220.382165605095</v>
      </c>
      <c r="G10" s="33">
        <v>91502</v>
      </c>
      <c r="H10" s="204">
        <f>($G$10*B10)/1000000</f>
        <v>1364.0203140000001</v>
      </c>
      <c r="I10" s="137">
        <f>($G$10*C10)/1000000</f>
        <v>1405.653724</v>
      </c>
      <c r="J10" s="64">
        <f>($G$10*D10)/1000000</f>
        <v>1525.1129695387292</v>
      </c>
      <c r="K10" s="139">
        <f>($G$10*E10)/1000000</f>
        <v>1617.5962260869564</v>
      </c>
      <c r="L10" s="64">
        <f>($G$10*F10)/1000000</f>
        <v>1392.6954089171975</v>
      </c>
      <c r="M10" s="84">
        <f>Propane!B3</f>
        <v>16803</v>
      </c>
      <c r="N10" s="144">
        <f>Propane!C3</f>
        <v>14649</v>
      </c>
      <c r="O10" s="84">
        <f>Propane!D3</f>
        <v>19151</v>
      </c>
      <c r="P10" s="146">
        <f>Propane!E3</f>
        <v>16264</v>
      </c>
      <c r="Q10" s="84">
        <f>Propane!F3</f>
        <v>11948</v>
      </c>
      <c r="R10" s="85">
        <f t="shared" si="4"/>
        <v>-0.40634415801807844</v>
      </c>
      <c r="S10" s="86">
        <f t="shared" si="5"/>
        <v>-0.22606293940408428</v>
      </c>
      <c r="T10" s="2">
        <f t="shared" si="6"/>
        <v>5.5337661273399265E-2</v>
      </c>
      <c r="V10" s="5">
        <f>SUM(M9:M10)</f>
        <v>91733.69469710924</v>
      </c>
      <c r="W10" s="5">
        <f>SUM(Q9:Q10)</f>
        <v>53883</v>
      </c>
      <c r="X10" s="2">
        <f>1-V10/W10</f>
        <v>-0.70246078906351239</v>
      </c>
    </row>
    <row r="11" spans="1:24" x14ac:dyDescent="0.25">
      <c r="A11" s="39"/>
      <c r="B11" s="33"/>
      <c r="C11" s="33"/>
      <c r="D11" s="33"/>
      <c r="E11" s="33"/>
      <c r="F11" s="33"/>
      <c r="G11" s="33"/>
      <c r="H11" s="33"/>
      <c r="I11" s="140"/>
      <c r="J11" s="64"/>
      <c r="K11" s="139"/>
      <c r="L11" s="64"/>
      <c r="M11" s="84"/>
      <c r="N11" s="140"/>
      <c r="O11" s="33"/>
      <c r="P11" s="140"/>
      <c r="Q11" s="33"/>
      <c r="R11" s="33"/>
      <c r="S11" s="44"/>
    </row>
    <row r="12" spans="1:24" x14ac:dyDescent="0.25">
      <c r="A12" s="57" t="s">
        <v>4</v>
      </c>
      <c r="B12" s="52"/>
      <c r="C12" s="52"/>
      <c r="D12" s="52"/>
      <c r="E12" s="52"/>
      <c r="F12" s="52"/>
      <c r="G12" s="52"/>
      <c r="H12" s="88">
        <f>SUM(H3:H10)</f>
        <v>24649.041585999999</v>
      </c>
      <c r="I12" s="142">
        <f>SUM(I3:I10)</f>
        <v>24349.14817812297</v>
      </c>
      <c r="J12" s="88">
        <f>SUM(J3:J10)</f>
        <v>26485.061010912374</v>
      </c>
      <c r="K12" s="142">
        <f>SUM(K3:K10)</f>
        <v>25306.058772728022</v>
      </c>
      <c r="L12" s="88">
        <f t="shared" ref="L12" si="7">SUM(L3:L10)</f>
        <v>26397.252326766946</v>
      </c>
      <c r="M12" s="90">
        <f>SUM(M3:M10)</f>
        <v>395115.74757520919</v>
      </c>
      <c r="N12" s="145">
        <f>SUM(N3:N10)</f>
        <v>307708.85297435476</v>
      </c>
      <c r="O12" s="90">
        <f>SUM(O3:O10)</f>
        <v>388637.13340515993</v>
      </c>
      <c r="P12" s="145">
        <f>SUM(P3:P10)</f>
        <v>401866.08041958045</v>
      </c>
      <c r="Q12" s="90">
        <f>SUM(Q3:Q10)</f>
        <v>402346.64746444474</v>
      </c>
      <c r="R12" s="89">
        <f>1-M12/Q12</f>
        <v>1.7971815932365964E-2</v>
      </c>
      <c r="S12" s="147">
        <f>1-N12/Q12</f>
        <v>0.23521457202760243</v>
      </c>
      <c r="T12" s="12">
        <f>SUM(T3:T10)</f>
        <v>0.99999999999999989</v>
      </c>
    </row>
    <row r="13" spans="1:24" x14ac:dyDescent="0.25">
      <c r="F13" s="15"/>
      <c r="G13" s="15"/>
      <c r="H13" s="15"/>
      <c r="I13" s="2"/>
      <c r="J13" s="5"/>
      <c r="K13" s="5"/>
      <c r="L13" s="5"/>
      <c r="M13" s="12"/>
    </row>
    <row r="14" spans="1:24" ht="18.75" x14ac:dyDescent="0.3">
      <c r="A14" s="245" t="s">
        <v>242</v>
      </c>
      <c r="B14" s="246"/>
      <c r="C14" s="246"/>
      <c r="D14" s="246"/>
      <c r="E14" s="246"/>
      <c r="F14" s="246"/>
      <c r="G14" s="246"/>
      <c r="H14" s="246"/>
      <c r="I14" s="246"/>
      <c r="J14" s="246"/>
      <c r="K14" s="246"/>
      <c r="L14" s="246"/>
      <c r="M14" s="246"/>
      <c r="N14" s="246"/>
    </row>
    <row r="15" spans="1:24" ht="61.15" customHeight="1" x14ac:dyDescent="0.25">
      <c r="A15" s="99" t="s">
        <v>110</v>
      </c>
      <c r="B15" s="58" t="s">
        <v>6</v>
      </c>
      <c r="C15" s="68" t="s">
        <v>307</v>
      </c>
      <c r="D15" s="68" t="s">
        <v>204</v>
      </c>
      <c r="E15" s="68" t="s">
        <v>209</v>
      </c>
      <c r="F15" s="68" t="s">
        <v>305</v>
      </c>
      <c r="G15" s="68" t="s">
        <v>152</v>
      </c>
      <c r="H15" s="68" t="s">
        <v>308</v>
      </c>
      <c r="I15" s="68" t="s">
        <v>217</v>
      </c>
      <c r="J15" s="68" t="s">
        <v>355</v>
      </c>
      <c r="K15" s="68" t="s">
        <v>218</v>
      </c>
      <c r="L15" s="68" t="s">
        <v>132</v>
      </c>
      <c r="M15" s="68" t="s">
        <v>393</v>
      </c>
      <c r="N15" s="74" t="s">
        <v>219</v>
      </c>
    </row>
    <row r="16" spans="1:24" x14ac:dyDescent="0.25">
      <c r="A16" s="91" t="s">
        <v>125</v>
      </c>
      <c r="B16" s="92">
        <f>'Renewable Electricity'!K50</f>
        <v>174</v>
      </c>
      <c r="C16" s="36">
        <f>'Renewable Electricity'!D10</f>
        <v>184401</v>
      </c>
      <c r="D16" s="36">
        <f>'Renewable Electricity'!D30</f>
        <v>179271</v>
      </c>
      <c r="E16" s="33">
        <v>3412</v>
      </c>
      <c r="F16" s="42">
        <f>($E$16*C16)/1000000</f>
        <v>629.17621199999996</v>
      </c>
      <c r="G16" s="42">
        <f>($E$16*D16)/1000000</f>
        <v>611.67265199999997</v>
      </c>
      <c r="H16" s="50">
        <f>'Renewable Electricity'!J10</f>
        <v>16282.199999999999</v>
      </c>
      <c r="I16" s="50">
        <f>'Renewable Electricity'!H30</f>
        <v>15898.8</v>
      </c>
      <c r="J16" s="50"/>
      <c r="K16" s="33"/>
      <c r="L16" s="33"/>
      <c r="M16" s="33"/>
      <c r="N16" s="44"/>
    </row>
    <row r="17" spans="1:14" x14ac:dyDescent="0.25">
      <c r="A17" s="39" t="s">
        <v>142</v>
      </c>
      <c r="B17" s="92">
        <f>'Renewable Electricity'!K51</f>
        <v>195.125</v>
      </c>
      <c r="C17" s="36">
        <f>'Renewable Electricity'!D13</f>
        <v>211051</v>
      </c>
      <c r="D17" s="67">
        <f>'Renewable Electricity'!D33</f>
        <v>209100</v>
      </c>
      <c r="E17" s="33">
        <v>3412</v>
      </c>
      <c r="F17" s="42">
        <f>($E$17*C17)/1000000</f>
        <v>720.10601199999996</v>
      </c>
      <c r="G17" s="42">
        <f>($E$17*D17)/1000000</f>
        <v>713.44920000000002</v>
      </c>
      <c r="H17" s="50">
        <f>'Renewable Electricity'!J13</f>
        <v>17400.456000000002</v>
      </c>
      <c r="I17" s="50">
        <f>'Renewable Electricity'!H33</f>
        <v>17220.600000000002</v>
      </c>
      <c r="J17" s="50"/>
      <c r="K17" s="33"/>
      <c r="L17" s="33"/>
      <c r="M17" s="33"/>
      <c r="N17" s="44"/>
    </row>
    <row r="18" spans="1:14" x14ac:dyDescent="0.25">
      <c r="A18" s="39"/>
      <c r="B18" s="33"/>
      <c r="C18" s="36"/>
      <c r="D18" s="33"/>
      <c r="E18" s="33"/>
      <c r="F18" s="33"/>
      <c r="G18" s="33"/>
      <c r="H18" s="50"/>
      <c r="I18" s="33"/>
      <c r="J18" s="33"/>
      <c r="K18" s="50"/>
      <c r="L18" s="50"/>
      <c r="M18" s="50"/>
      <c r="N18" s="44"/>
    </row>
    <row r="19" spans="1:14" x14ac:dyDescent="0.25">
      <c r="A19" s="57" t="s">
        <v>4</v>
      </c>
      <c r="B19" s="93">
        <f>SUM(B16:B17)</f>
        <v>369.125</v>
      </c>
      <c r="C19" s="94">
        <f>SUM(C16:C17)</f>
        <v>395452</v>
      </c>
      <c r="D19" s="94">
        <f>SUM(D16:D17)</f>
        <v>388371</v>
      </c>
      <c r="E19" s="52"/>
      <c r="F19" s="93">
        <f>SUM(F16:F17)</f>
        <v>1349.282224</v>
      </c>
      <c r="G19" s="93">
        <f>SUM(G16:G17)</f>
        <v>1325.121852</v>
      </c>
      <c r="H19" s="95">
        <f>SUM(H16:H17)</f>
        <v>33682.656000000003</v>
      </c>
      <c r="I19" s="95">
        <f>SUM(I16:I17)</f>
        <v>33119.4</v>
      </c>
      <c r="J19" s="104">
        <f>F19/H3</f>
        <v>0.39867890707385578</v>
      </c>
      <c r="K19" s="104">
        <f>G19/I3</f>
        <v>0.39938483561166283</v>
      </c>
      <c r="L19" s="89">
        <f>(('Renewable Electricity'!C52*3412/1000000)/Summary!J3)</f>
        <v>0.22120756314922951</v>
      </c>
      <c r="M19" s="238">
        <f>F19/H12</f>
        <v>5.4739743908191404E-2</v>
      </c>
      <c r="N19" s="150">
        <f>G19/I12</f>
        <v>5.4421692385550675E-2</v>
      </c>
    </row>
    <row r="22" spans="1:14" x14ac:dyDescent="0.25">
      <c r="A22" t="s">
        <v>154</v>
      </c>
    </row>
    <row r="23" spans="1:14" x14ac:dyDescent="0.25">
      <c r="A23" s="65"/>
    </row>
    <row r="24" spans="1:14" x14ac:dyDescent="0.25">
      <c r="B24" s="92"/>
    </row>
  </sheetData>
  <mergeCells count="2">
    <mergeCell ref="A1:S1"/>
    <mergeCell ref="A14:N14"/>
  </mergeCells>
  <printOptions gridLines="1"/>
  <pageMargins left="0.7" right="0.7" top="0.75" bottom="0.75" header="0.3" footer="0.3"/>
  <pageSetup scale="7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15FAB-D8BF-4127-BFB5-D656CD599588}">
  <dimension ref="A1:T38"/>
  <sheetViews>
    <sheetView zoomScale="90" zoomScaleNormal="90" workbookViewId="0">
      <selection sqref="A1:H1"/>
    </sheetView>
  </sheetViews>
  <sheetFormatPr defaultRowHeight="15" x14ac:dyDescent="0.25"/>
  <cols>
    <col min="1" max="1" width="30.5703125" customWidth="1"/>
    <col min="2" max="2" width="11.42578125" customWidth="1"/>
    <col min="3" max="3" width="11.28515625" customWidth="1"/>
    <col min="4" max="4" width="12.28515625" customWidth="1"/>
    <col min="5" max="5" width="13.42578125" customWidth="1"/>
    <col min="6" max="6" width="14.5703125" customWidth="1"/>
    <col min="7" max="7" width="10.85546875" customWidth="1"/>
    <col min="8" max="9" width="11.42578125" customWidth="1"/>
    <col min="10" max="10" width="13" customWidth="1"/>
    <col min="11" max="11" width="11.140625" customWidth="1"/>
    <col min="12" max="12" width="12.7109375" customWidth="1"/>
    <col min="18" max="18" width="10.85546875" customWidth="1"/>
    <col min="20" max="20" width="10.5703125" bestFit="1" customWidth="1"/>
  </cols>
  <sheetData>
    <row r="1" spans="1:20" ht="15.75" x14ac:dyDescent="0.25">
      <c r="A1" s="250" t="s">
        <v>373</v>
      </c>
      <c r="B1" s="250"/>
      <c r="C1" s="250"/>
      <c r="D1" s="250"/>
      <c r="E1" s="250"/>
      <c r="F1" s="250"/>
      <c r="G1" s="250"/>
      <c r="H1" s="250"/>
      <c r="I1" s="206"/>
    </row>
    <row r="2" spans="1:20" x14ac:dyDescent="0.25">
      <c r="A2" s="247" t="s">
        <v>7</v>
      </c>
      <c r="B2" s="263" t="s">
        <v>374</v>
      </c>
      <c r="C2" s="263" t="s">
        <v>375</v>
      </c>
      <c r="D2" s="263" t="s">
        <v>128</v>
      </c>
      <c r="E2" s="209"/>
      <c r="F2" s="263" t="s">
        <v>169</v>
      </c>
      <c r="G2" s="247" t="s">
        <v>136</v>
      </c>
      <c r="H2" s="247"/>
      <c r="I2" s="247"/>
      <c r="J2" s="247"/>
    </row>
    <row r="3" spans="1:20" ht="73.150000000000006" customHeight="1" x14ac:dyDescent="0.25">
      <c r="A3" s="247"/>
      <c r="B3" s="263"/>
      <c r="C3" s="263"/>
      <c r="D3" s="263"/>
      <c r="E3" s="209" t="s">
        <v>376</v>
      </c>
      <c r="F3" s="263"/>
      <c r="G3" s="3" t="s">
        <v>377</v>
      </c>
      <c r="H3" s="3" t="s">
        <v>384</v>
      </c>
      <c r="I3" s="3" t="s">
        <v>123</v>
      </c>
      <c r="J3" s="3" t="s">
        <v>120</v>
      </c>
      <c r="K3" s="3" t="s">
        <v>385</v>
      </c>
      <c r="L3" s="3" t="s">
        <v>233</v>
      </c>
      <c r="M3" s="3"/>
      <c r="N3" s="3"/>
      <c r="O3" s="3"/>
      <c r="P3" s="3"/>
      <c r="Q3" s="3"/>
      <c r="R3" t="s">
        <v>70</v>
      </c>
      <c r="S3" t="s">
        <v>5</v>
      </c>
      <c r="T3" s="3"/>
    </row>
    <row r="4" spans="1:20" x14ac:dyDescent="0.25">
      <c r="A4" t="s">
        <v>37</v>
      </c>
      <c r="B4" s="10">
        <f>'Electrcity Entry Form'!C3</f>
        <v>19917</v>
      </c>
      <c r="C4" s="23">
        <v>0</v>
      </c>
      <c r="D4" s="23"/>
      <c r="E4" s="23">
        <f>B4</f>
        <v>19917</v>
      </c>
      <c r="F4" s="23">
        <f>B4+D4</f>
        <v>19917</v>
      </c>
      <c r="G4" s="23">
        <f>-(F4*0.6)</f>
        <v>-11950.199999999999</v>
      </c>
      <c r="H4" s="10">
        <f>F4+G4</f>
        <v>7966.8000000000011</v>
      </c>
      <c r="I4" s="10">
        <f>H4</f>
        <v>7966.8000000000011</v>
      </c>
      <c r="J4" s="10">
        <f>ROUND(I4,-2)</f>
        <v>8000</v>
      </c>
      <c r="M4" s="23"/>
      <c r="N4" t="s">
        <v>72</v>
      </c>
      <c r="O4" s="23"/>
      <c r="P4" s="23"/>
      <c r="Q4" s="10"/>
      <c r="R4" s="10">
        <f>-C35</f>
        <v>184401</v>
      </c>
      <c r="S4" s="2">
        <f>R4/$R$10</f>
        <v>0.18590579587412351</v>
      </c>
      <c r="T4" s="112"/>
    </row>
    <row r="5" spans="1:20" x14ac:dyDescent="0.25">
      <c r="A5" s="7" t="s">
        <v>19</v>
      </c>
      <c r="B5" s="10">
        <f>'Electrcity Entry Form'!C4</f>
        <v>2989</v>
      </c>
      <c r="C5" s="23">
        <v>0</v>
      </c>
      <c r="D5" s="23"/>
      <c r="E5" s="23">
        <f t="shared" ref="E5:E6" si="0">B5</f>
        <v>2989</v>
      </c>
      <c r="F5" s="23">
        <f t="shared" ref="F5:F16" si="1">B5+D5</f>
        <v>2989</v>
      </c>
      <c r="G5" s="23">
        <f t="shared" ref="G5:G16" si="2">-(F5*0.6)</f>
        <v>-1793.3999999999999</v>
      </c>
      <c r="H5" s="10">
        <f t="shared" ref="H5:H16" si="3">F5+G5</f>
        <v>1195.6000000000001</v>
      </c>
      <c r="I5" s="10">
        <f t="shared" ref="I5:I16" si="4">H5</f>
        <v>1195.6000000000001</v>
      </c>
      <c r="J5" s="10">
        <f t="shared" ref="J5:J16" si="5">ROUND(I5,-2)</f>
        <v>1200</v>
      </c>
      <c r="N5" t="s">
        <v>69</v>
      </c>
      <c r="R5" s="10">
        <f>-D35</f>
        <v>211051</v>
      </c>
      <c r="S5" s="2">
        <f t="shared" ref="S5:S8" si="6">R5/$R$10</f>
        <v>0.21277327197265547</v>
      </c>
    </row>
    <row r="6" spans="1:20" x14ac:dyDescent="0.25">
      <c r="A6" t="s">
        <v>48</v>
      </c>
      <c r="B6" s="10">
        <f>'Electrcity Entry Form'!C5</f>
        <v>284640</v>
      </c>
      <c r="C6" s="23">
        <v>0</v>
      </c>
      <c r="D6" s="23">
        <f>-'Renewable Electricity'!D12*0.7368</f>
        <v>-151689.4368</v>
      </c>
      <c r="E6" s="23">
        <f t="shared" si="0"/>
        <v>284640</v>
      </c>
      <c r="F6" s="23">
        <f t="shared" si="1"/>
        <v>132950.5632</v>
      </c>
      <c r="G6" s="23">
        <f t="shared" si="2"/>
        <v>-79770.337920000005</v>
      </c>
      <c r="H6" s="10">
        <f t="shared" si="3"/>
        <v>53180.225279999999</v>
      </c>
      <c r="I6" s="10">
        <f t="shared" si="4"/>
        <v>53180.225279999999</v>
      </c>
      <c r="J6" s="10">
        <f t="shared" si="5"/>
        <v>53200</v>
      </c>
      <c r="N6" t="s">
        <v>137</v>
      </c>
      <c r="R6" s="10">
        <f>-F35</f>
        <v>350267.16000000003</v>
      </c>
      <c r="S6" s="2">
        <f t="shared" si="6"/>
        <v>0.35312549903942475</v>
      </c>
    </row>
    <row r="7" spans="1:20" x14ac:dyDescent="0.25">
      <c r="A7" s="7" t="s">
        <v>18</v>
      </c>
      <c r="B7" s="10">
        <f>'Electrcity Entry Form'!C7</f>
        <v>2901</v>
      </c>
      <c r="C7" s="23">
        <f>-'Renewable Electricity'!D5</f>
        <v>-9344</v>
      </c>
      <c r="D7" s="23"/>
      <c r="E7" s="23">
        <f>'Renewable Electricity'!G5</f>
        <v>12245</v>
      </c>
      <c r="F7" s="23">
        <f t="shared" si="1"/>
        <v>2901</v>
      </c>
      <c r="G7" s="23">
        <f t="shared" si="2"/>
        <v>-1740.6</v>
      </c>
      <c r="H7" s="10">
        <f t="shared" si="3"/>
        <v>1160.4000000000001</v>
      </c>
      <c r="I7" s="10">
        <f>H7</f>
        <v>1160.4000000000001</v>
      </c>
      <c r="J7" s="10">
        <f t="shared" si="5"/>
        <v>1200</v>
      </c>
      <c r="N7" t="s">
        <v>68</v>
      </c>
      <c r="R7" s="10">
        <f>'Renewable.Connect 2021'!I17</f>
        <v>220031.8</v>
      </c>
      <c r="S7" s="2">
        <f t="shared" si="6"/>
        <v>0.22182735937774722</v>
      </c>
    </row>
    <row r="8" spans="1:20" x14ac:dyDescent="0.25">
      <c r="A8" t="s">
        <v>17</v>
      </c>
      <c r="B8" s="10">
        <f>'Electrcity Entry Form'!C8</f>
        <v>26840</v>
      </c>
      <c r="C8" s="23">
        <f>-'Renewable Electricity'!D6</f>
        <v>-51412</v>
      </c>
      <c r="D8" s="23"/>
      <c r="E8" s="23">
        <f>'Renewable Electricity'!G6</f>
        <v>45928</v>
      </c>
      <c r="F8" s="23">
        <f t="shared" si="1"/>
        <v>26840</v>
      </c>
      <c r="G8" s="23">
        <f t="shared" si="2"/>
        <v>-16104</v>
      </c>
      <c r="H8" s="10">
        <f t="shared" si="3"/>
        <v>10736</v>
      </c>
      <c r="I8" s="10">
        <v>2753</v>
      </c>
      <c r="J8" s="10">
        <f t="shared" si="5"/>
        <v>2800</v>
      </c>
      <c r="N8" t="s">
        <v>131</v>
      </c>
      <c r="R8" s="10">
        <f>'Renewable.Connect 2021'!G27+'Renewable.Connect 2021'!G30</f>
        <v>26154.639999999999</v>
      </c>
      <c r="S8" s="2">
        <f t="shared" si="6"/>
        <v>2.6368073736049075E-2</v>
      </c>
    </row>
    <row r="9" spans="1:20" x14ac:dyDescent="0.25">
      <c r="A9" t="s">
        <v>321</v>
      </c>
      <c r="B9" s="10">
        <f>'Electrcity Entry Form'!C9</f>
        <v>2581</v>
      </c>
      <c r="C9" s="23">
        <v>0</v>
      </c>
      <c r="D9" s="23"/>
      <c r="E9" s="23">
        <f>B9</f>
        <v>2581</v>
      </c>
      <c r="F9" s="23">
        <f t="shared" si="1"/>
        <v>2581</v>
      </c>
      <c r="G9" s="23">
        <f t="shared" si="2"/>
        <v>-1548.6</v>
      </c>
      <c r="H9" s="10">
        <f t="shared" si="3"/>
        <v>1032.4000000000001</v>
      </c>
      <c r="I9" s="10">
        <f t="shared" si="4"/>
        <v>1032.4000000000001</v>
      </c>
      <c r="J9" s="10">
        <f t="shared" si="5"/>
        <v>1000</v>
      </c>
    </row>
    <row r="10" spans="1:20" x14ac:dyDescent="0.25">
      <c r="A10" t="s">
        <v>56</v>
      </c>
      <c r="B10" s="10">
        <f>'Electrcity Entry Form'!C10</f>
        <v>7190</v>
      </c>
      <c r="C10" s="23">
        <f>-'Renewable Electricity'!D7</f>
        <v>-5225</v>
      </c>
      <c r="D10" s="23"/>
      <c r="E10" s="23">
        <f>'Renewable Electricity'!G7</f>
        <v>6494</v>
      </c>
      <c r="F10" s="23">
        <f>B10</f>
        <v>7190</v>
      </c>
      <c r="G10" s="23">
        <f t="shared" si="2"/>
        <v>-4314</v>
      </c>
      <c r="H10" s="10">
        <f t="shared" si="3"/>
        <v>2876</v>
      </c>
      <c r="I10" s="10">
        <f>H10</f>
        <v>2876</v>
      </c>
      <c r="J10" s="10">
        <f t="shared" si="5"/>
        <v>2900</v>
      </c>
      <c r="K10" s="10"/>
      <c r="N10" s="4" t="s">
        <v>71</v>
      </c>
      <c r="R10" s="26">
        <f>SUM(R4:R8)</f>
        <v>991905.6</v>
      </c>
      <c r="S10" s="11">
        <f>SUM(S4:S8)</f>
        <v>1</v>
      </c>
    </row>
    <row r="11" spans="1:20" ht="15" customHeight="1" x14ac:dyDescent="0.25">
      <c r="A11" s="7" t="s">
        <v>244</v>
      </c>
      <c r="B11" s="10">
        <f>'Electrcity Entry Form'!C11</f>
        <v>2298</v>
      </c>
      <c r="C11" s="23">
        <v>0</v>
      </c>
      <c r="D11" s="23"/>
      <c r="E11" s="23">
        <f>B11</f>
        <v>2298</v>
      </c>
      <c r="F11" s="23">
        <f t="shared" si="1"/>
        <v>2298</v>
      </c>
      <c r="G11" s="23">
        <f t="shared" si="2"/>
        <v>-1378.8</v>
      </c>
      <c r="H11" s="10">
        <f t="shared" si="3"/>
        <v>919.2</v>
      </c>
      <c r="I11" s="10">
        <f t="shared" si="4"/>
        <v>919.2</v>
      </c>
      <c r="J11" s="10">
        <f t="shared" si="5"/>
        <v>900</v>
      </c>
    </row>
    <row r="12" spans="1:20" x14ac:dyDescent="0.25">
      <c r="A12" s="7" t="s">
        <v>57</v>
      </c>
      <c r="B12" s="10">
        <f>'Electrcity Entry Form'!C13</f>
        <v>402160</v>
      </c>
      <c r="C12" s="23">
        <f>-('Renewable Electricity'!D8+'Renewable Electricity'!D9)</f>
        <v>-118420</v>
      </c>
      <c r="D12" s="23">
        <f>-'Renewable Electricity'!D12*0.2632</f>
        <v>-54186.563199999997</v>
      </c>
      <c r="E12" s="23">
        <f>B12-C12</f>
        <v>520580</v>
      </c>
      <c r="F12" s="23">
        <f t="shared" si="1"/>
        <v>347973.43680000002</v>
      </c>
      <c r="G12" s="23">
        <f t="shared" si="2"/>
        <v>-208784.06208</v>
      </c>
      <c r="H12" s="10">
        <f t="shared" si="3"/>
        <v>139189.37472000002</v>
      </c>
      <c r="I12" s="10">
        <f t="shared" si="4"/>
        <v>139189.37472000002</v>
      </c>
      <c r="J12" s="10">
        <f t="shared" si="5"/>
        <v>139200</v>
      </c>
      <c r="K12" s="23"/>
      <c r="N12" t="s">
        <v>386</v>
      </c>
      <c r="R12" s="10">
        <f>B38</f>
        <v>991906</v>
      </c>
    </row>
    <row r="13" spans="1:20" x14ac:dyDescent="0.25">
      <c r="A13" s="7" t="s">
        <v>21</v>
      </c>
      <c r="B13" s="10">
        <f>'Electrcity Entry Form'!C14</f>
        <v>5529</v>
      </c>
      <c r="C13" s="23">
        <v>0</v>
      </c>
      <c r="D13" s="23"/>
      <c r="E13" s="23">
        <f t="shared" ref="E13:E16" si="7">B13</f>
        <v>5529</v>
      </c>
      <c r="F13" s="23">
        <f t="shared" si="1"/>
        <v>5529</v>
      </c>
      <c r="G13" s="23">
        <f t="shared" si="2"/>
        <v>-3317.4</v>
      </c>
      <c r="H13" s="10">
        <f t="shared" si="3"/>
        <v>2211.6</v>
      </c>
      <c r="I13" s="10">
        <f t="shared" si="4"/>
        <v>2211.6</v>
      </c>
      <c r="J13" s="10">
        <f t="shared" si="5"/>
        <v>2200</v>
      </c>
    </row>
    <row r="14" spans="1:20" x14ac:dyDescent="0.25">
      <c r="A14" s="7" t="s">
        <v>194</v>
      </c>
      <c r="B14" s="10">
        <f>'Electrcity Entry Form'!C17</f>
        <v>692</v>
      </c>
      <c r="C14" s="23">
        <v>0</v>
      </c>
      <c r="D14" s="23"/>
      <c r="E14" s="23">
        <f t="shared" si="7"/>
        <v>692</v>
      </c>
      <c r="F14" s="23">
        <f t="shared" si="1"/>
        <v>692</v>
      </c>
      <c r="G14" s="23">
        <f t="shared" si="2"/>
        <v>-415.2</v>
      </c>
      <c r="H14" s="10">
        <f t="shared" si="3"/>
        <v>276.8</v>
      </c>
      <c r="I14" s="10">
        <f t="shared" si="4"/>
        <v>276.8</v>
      </c>
      <c r="J14" s="10">
        <f t="shared" si="5"/>
        <v>300</v>
      </c>
      <c r="R14" s="10"/>
    </row>
    <row r="15" spans="1:20" x14ac:dyDescent="0.25">
      <c r="A15" s="7" t="s">
        <v>195</v>
      </c>
      <c r="B15" s="10">
        <f>'Electrcity Entry Form'!C18</f>
        <v>12669</v>
      </c>
      <c r="C15" s="23">
        <v>0</v>
      </c>
      <c r="D15" s="23"/>
      <c r="E15" s="23">
        <f t="shared" si="7"/>
        <v>12669</v>
      </c>
      <c r="F15" s="23">
        <f t="shared" si="1"/>
        <v>12669</v>
      </c>
      <c r="G15" s="23">
        <f t="shared" si="2"/>
        <v>-7601.4</v>
      </c>
      <c r="H15" s="10">
        <f t="shared" si="3"/>
        <v>5067.6000000000004</v>
      </c>
      <c r="I15" s="10">
        <f t="shared" si="4"/>
        <v>5067.6000000000004</v>
      </c>
      <c r="J15" s="10">
        <f t="shared" si="5"/>
        <v>5100</v>
      </c>
    </row>
    <row r="16" spans="1:20" x14ac:dyDescent="0.25">
      <c r="A16" s="7" t="s">
        <v>263</v>
      </c>
      <c r="B16" s="10">
        <f>'Electrcity Entry Form'!C19</f>
        <v>5507</v>
      </c>
      <c r="C16" s="23">
        <v>0</v>
      </c>
      <c r="D16" s="23"/>
      <c r="E16" s="23">
        <f t="shared" si="7"/>
        <v>5507</v>
      </c>
      <c r="F16" s="23">
        <f t="shared" si="1"/>
        <v>5507</v>
      </c>
      <c r="G16" s="23">
        <f t="shared" si="2"/>
        <v>-3304.2</v>
      </c>
      <c r="H16" s="10">
        <f t="shared" si="3"/>
        <v>2202.8000000000002</v>
      </c>
      <c r="I16" s="10">
        <f t="shared" si="4"/>
        <v>2202.8000000000002</v>
      </c>
      <c r="J16" s="10">
        <f t="shared" si="5"/>
        <v>2200</v>
      </c>
    </row>
    <row r="17" spans="1:14" x14ac:dyDescent="0.25">
      <c r="A17" s="7" t="s">
        <v>186</v>
      </c>
      <c r="B17" s="10">
        <f t="shared" ref="B17:J17" si="8">SUM(B4:B16)</f>
        <v>775913</v>
      </c>
      <c r="C17" s="23">
        <f t="shared" si="8"/>
        <v>-184401</v>
      </c>
      <c r="D17" s="23">
        <f t="shared" si="8"/>
        <v>-205876</v>
      </c>
      <c r="E17" s="23">
        <f t="shared" si="8"/>
        <v>922069</v>
      </c>
      <c r="F17" s="23">
        <f t="shared" si="8"/>
        <v>570037</v>
      </c>
      <c r="G17" s="23">
        <f t="shared" si="8"/>
        <v>-342022.20000000007</v>
      </c>
      <c r="H17" s="10">
        <f t="shared" si="8"/>
        <v>228014.8</v>
      </c>
      <c r="I17" s="10">
        <f t="shared" si="8"/>
        <v>220031.8</v>
      </c>
      <c r="J17" s="10">
        <f t="shared" si="8"/>
        <v>220200</v>
      </c>
      <c r="K17" s="2">
        <f>I17/E17</f>
        <v>0.23862834560103419</v>
      </c>
      <c r="L17" s="2">
        <f>-(C17+D17+G17)/E17</f>
        <v>0.79419132407661475</v>
      </c>
      <c r="M17" s="23"/>
      <c r="N17" s="2"/>
    </row>
    <row r="18" spans="1:14" x14ac:dyDescent="0.25">
      <c r="A18" s="262"/>
      <c r="B18" s="262"/>
      <c r="C18" s="262"/>
      <c r="D18" s="262"/>
      <c r="E18" s="262"/>
      <c r="F18" s="23"/>
      <c r="G18" s="10"/>
      <c r="H18" s="10"/>
      <c r="I18" s="10"/>
      <c r="K18" s="2"/>
      <c r="L18" s="10"/>
      <c r="M18" s="23"/>
      <c r="N18" s="2"/>
    </row>
    <row r="19" spans="1:14" x14ac:dyDescent="0.25">
      <c r="A19" s="262" t="s">
        <v>171</v>
      </c>
      <c r="B19" s="262"/>
      <c r="C19" s="262"/>
      <c r="D19" s="262"/>
      <c r="E19" s="262"/>
      <c r="F19" s="23"/>
      <c r="G19" s="10"/>
      <c r="H19" s="26">
        <f>J17</f>
        <v>220200</v>
      </c>
      <c r="I19" s="26"/>
    </row>
    <row r="20" spans="1:14" ht="18" customHeight="1" x14ac:dyDescent="0.25">
      <c r="A20" s="262" t="s">
        <v>121</v>
      </c>
      <c r="B20" s="262"/>
      <c r="C20" s="262"/>
      <c r="D20" s="262"/>
      <c r="E20" s="262"/>
      <c r="H20" s="25">
        <f>(H19/100)*0.59</f>
        <v>1299.1799999999998</v>
      </c>
      <c r="I20" s="25"/>
    </row>
    <row r="22" spans="1:14" ht="15.75" x14ac:dyDescent="0.25">
      <c r="A22" s="250" t="s">
        <v>126</v>
      </c>
      <c r="B22" s="250"/>
      <c r="C22" s="250"/>
      <c r="D22" s="250"/>
      <c r="E22" s="250"/>
      <c r="F22" s="250"/>
      <c r="G22" s="250"/>
      <c r="H22" s="250"/>
      <c r="I22" s="206"/>
    </row>
    <row r="23" spans="1:14" ht="60" x14ac:dyDescent="0.25">
      <c r="A23" t="s">
        <v>7</v>
      </c>
      <c r="B23" s="3" t="s">
        <v>379</v>
      </c>
      <c r="C23" s="3" t="s">
        <v>380</v>
      </c>
      <c r="D23" s="3" t="s">
        <v>128</v>
      </c>
      <c r="E23" s="3" t="s">
        <v>381</v>
      </c>
      <c r="F23" s="3" t="s">
        <v>130</v>
      </c>
      <c r="G23" s="3" t="s">
        <v>129</v>
      </c>
      <c r="H23" s="3" t="s">
        <v>120</v>
      </c>
      <c r="I23" s="3"/>
    </row>
    <row r="24" spans="1:14" x14ac:dyDescent="0.25">
      <c r="A24" t="s">
        <v>47</v>
      </c>
      <c r="B24" s="10">
        <f>'Electrcity Entry Form'!C6</f>
        <v>19636</v>
      </c>
      <c r="C24">
        <v>0</v>
      </c>
      <c r="E24" s="10">
        <f t="shared" ref="E24" si="9">SUM(B24:D24)</f>
        <v>19636</v>
      </c>
      <c r="F24" s="23">
        <f>-(E24*0.24)</f>
        <v>-4712.6399999999994</v>
      </c>
      <c r="G24" s="10">
        <f t="shared" ref="G24:G26" si="10">SUM(E24:F24)</f>
        <v>14923.36</v>
      </c>
      <c r="H24" s="10">
        <f t="shared" ref="H24:H26" si="11">ROUND(G24,-2)</f>
        <v>14900</v>
      </c>
      <c r="I24" s="10"/>
    </row>
    <row r="25" spans="1:14" x14ac:dyDescent="0.25">
      <c r="A25" t="s">
        <v>84</v>
      </c>
      <c r="B25" s="10">
        <f>'Electrcity Entry Form'!C15</f>
        <v>5803</v>
      </c>
      <c r="C25">
        <v>0</v>
      </c>
      <c r="D25" s="23">
        <f>-'Renewable Electricity'!D11</f>
        <v>-5175</v>
      </c>
      <c r="E25" s="10">
        <f>B25</f>
        <v>5803</v>
      </c>
      <c r="F25" s="23">
        <f t="shared" ref="F25:F26" si="12">-(E25*0.24)</f>
        <v>-1392.72</v>
      </c>
      <c r="G25" s="10">
        <f t="shared" si="10"/>
        <v>4410.28</v>
      </c>
      <c r="H25" s="10">
        <f t="shared" si="11"/>
        <v>4400</v>
      </c>
      <c r="I25" s="10"/>
    </row>
    <row r="26" spans="1:14" x14ac:dyDescent="0.25">
      <c r="A26" t="s">
        <v>352</v>
      </c>
      <c r="B26" s="10">
        <f>'Electrcity Entry Form'!C16</f>
        <v>60</v>
      </c>
      <c r="C26">
        <v>0</v>
      </c>
      <c r="D26" s="23"/>
      <c r="E26" s="10">
        <f>B26</f>
        <v>60</v>
      </c>
      <c r="F26" s="23">
        <f t="shared" si="12"/>
        <v>-14.399999999999999</v>
      </c>
      <c r="G26" s="10">
        <f t="shared" si="10"/>
        <v>45.6</v>
      </c>
      <c r="H26" s="10">
        <f t="shared" si="11"/>
        <v>0</v>
      </c>
      <c r="I26" s="10"/>
    </row>
    <row r="27" spans="1:14" x14ac:dyDescent="0.25">
      <c r="A27" t="s">
        <v>187</v>
      </c>
      <c r="B27" s="10">
        <f>SUM(B24:B26)</f>
        <v>25499</v>
      </c>
      <c r="C27" s="10">
        <f t="shared" ref="C27:F27" si="13">SUM(C24:C25)</f>
        <v>0</v>
      </c>
      <c r="D27" s="23">
        <f t="shared" si="13"/>
        <v>-5175</v>
      </c>
      <c r="E27" s="10">
        <f t="shared" si="13"/>
        <v>25439</v>
      </c>
      <c r="F27" s="23">
        <f t="shared" si="13"/>
        <v>-6105.36</v>
      </c>
      <c r="G27" s="23">
        <f>SUM(G24:G26)</f>
        <v>19379.239999999998</v>
      </c>
      <c r="H27" s="10">
        <f>SUM(H24:H26)</f>
        <v>19300</v>
      </c>
      <c r="I27" s="10"/>
    </row>
    <row r="28" spans="1:14" x14ac:dyDescent="0.25">
      <c r="A28" s="247" t="s">
        <v>139</v>
      </c>
      <c r="B28" s="247"/>
      <c r="C28" s="247"/>
      <c r="D28" s="247"/>
      <c r="E28" s="247"/>
      <c r="H28" s="25">
        <f>H27/100</f>
        <v>193</v>
      </c>
      <c r="I28" s="25"/>
    </row>
    <row r="29" spans="1:14" x14ac:dyDescent="0.25">
      <c r="A29" s="205"/>
      <c r="B29" s="205"/>
      <c r="C29" s="205"/>
      <c r="D29" s="205"/>
      <c r="E29" s="205"/>
      <c r="H29" s="25"/>
      <c r="I29" s="25"/>
    </row>
    <row r="30" spans="1:14" x14ac:dyDescent="0.25">
      <c r="A30" s="7" t="s">
        <v>23</v>
      </c>
      <c r="B30" s="10">
        <f>'Electrcity Entry Form'!C12</f>
        <v>8915</v>
      </c>
      <c r="C30">
        <v>0</v>
      </c>
      <c r="E30" s="10">
        <f>SUM(B30:D30)</f>
        <v>8915</v>
      </c>
      <c r="F30" s="23">
        <f>-(E30*0.24)</f>
        <v>-2139.6</v>
      </c>
      <c r="G30" s="10">
        <f>SUM(E30:F30)</f>
        <v>6775.4</v>
      </c>
      <c r="H30" s="10">
        <f t="shared" ref="H30" si="14">ROUND(G30,-2)</f>
        <v>6800</v>
      </c>
      <c r="I30" s="10"/>
    </row>
    <row r="31" spans="1:14" ht="16.149999999999999" customHeight="1" x14ac:dyDescent="0.25">
      <c r="A31" s="262" t="s">
        <v>382</v>
      </c>
      <c r="B31" s="262"/>
      <c r="C31" s="262"/>
      <c r="D31" s="262"/>
      <c r="E31" s="262"/>
      <c r="F31" s="23"/>
      <c r="G31" s="10"/>
      <c r="H31" s="25">
        <f>(H30/100)*1.5</f>
        <v>102</v>
      </c>
      <c r="I31" s="25"/>
    </row>
    <row r="32" spans="1:14" ht="16.149999999999999" customHeight="1" x14ac:dyDescent="0.25">
      <c r="A32" s="208"/>
      <c r="B32" s="208"/>
      <c r="C32" s="208"/>
      <c r="D32" s="208"/>
      <c r="E32" s="208"/>
      <c r="F32" s="23"/>
      <c r="G32" s="10"/>
      <c r="H32" s="25"/>
      <c r="I32" s="25"/>
    </row>
    <row r="33" spans="1:10" ht="16.149999999999999" customHeight="1" x14ac:dyDescent="0.25">
      <c r="A33" s="261" t="s">
        <v>234</v>
      </c>
      <c r="B33" s="261"/>
      <c r="C33" s="261"/>
      <c r="D33" s="261"/>
      <c r="E33" s="261"/>
      <c r="F33" s="261"/>
      <c r="G33" s="261"/>
      <c r="H33" s="261"/>
      <c r="I33" s="207"/>
    </row>
    <row r="34" spans="1:10" ht="30" x14ac:dyDescent="0.25">
      <c r="A34" s="7"/>
      <c r="B34" s="10" t="s">
        <v>235</v>
      </c>
      <c r="C34" t="s">
        <v>236</v>
      </c>
      <c r="D34" t="s">
        <v>237</v>
      </c>
      <c r="E34" s="10"/>
      <c r="F34" s="101" t="s">
        <v>238</v>
      </c>
      <c r="G34" s="102" t="s">
        <v>239</v>
      </c>
      <c r="H34" s="10" t="s">
        <v>120</v>
      </c>
      <c r="I34" s="10"/>
    </row>
    <row r="35" spans="1:10" x14ac:dyDescent="0.25">
      <c r="A35" t="s">
        <v>124</v>
      </c>
      <c r="B35" s="10">
        <f t="shared" ref="B35:D35" si="15">B17+B27+B30</f>
        <v>810327</v>
      </c>
      <c r="C35" s="23">
        <f t="shared" si="15"/>
        <v>-184401</v>
      </c>
      <c r="D35" s="23">
        <f t="shared" si="15"/>
        <v>-211051</v>
      </c>
      <c r="E35" s="10"/>
      <c r="F35" s="23">
        <f>G17+F27+F30</f>
        <v>-350267.16000000003</v>
      </c>
      <c r="G35" s="23">
        <f>I17+G27+G30</f>
        <v>246186.43999999997</v>
      </c>
      <c r="H35" s="23">
        <f>H19+H27+H30</f>
        <v>246300</v>
      </c>
      <c r="I35" s="23"/>
    </row>
    <row r="36" spans="1:10" x14ac:dyDescent="0.25">
      <c r="A36" t="s">
        <v>172</v>
      </c>
      <c r="B36" s="10">
        <f>'Renewable Electricity'!D14</f>
        <v>181579</v>
      </c>
      <c r="C36" s="23"/>
      <c r="D36" s="23"/>
      <c r="E36" s="10"/>
      <c r="F36" s="23"/>
      <c r="G36" s="23"/>
      <c r="H36" s="103" t="s">
        <v>240</v>
      </c>
      <c r="I36" s="103"/>
    </row>
    <row r="37" spans="1:10" x14ac:dyDescent="0.25">
      <c r="A37" t="s">
        <v>161</v>
      </c>
      <c r="D37" s="23">
        <f>-D35-C35</f>
        <v>395452</v>
      </c>
      <c r="E37" s="28" t="s">
        <v>228</v>
      </c>
      <c r="H37" s="25">
        <f>H20+H28+H31</f>
        <v>1594.1799999999998</v>
      </c>
      <c r="I37" s="25"/>
      <c r="J37" s="24"/>
    </row>
    <row r="38" spans="1:10" x14ac:dyDescent="0.25">
      <c r="A38" t="s">
        <v>173</v>
      </c>
      <c r="B38" s="10">
        <f>B36+B35</f>
        <v>991906</v>
      </c>
      <c r="C38" s="28" t="s">
        <v>378</v>
      </c>
    </row>
  </sheetData>
  <mergeCells count="14">
    <mergeCell ref="A1:H1"/>
    <mergeCell ref="A2:A3"/>
    <mergeCell ref="B2:B3"/>
    <mergeCell ref="C2:C3"/>
    <mergeCell ref="D2:D3"/>
    <mergeCell ref="F2:F3"/>
    <mergeCell ref="G2:J2"/>
    <mergeCell ref="A33:H33"/>
    <mergeCell ref="A18:E18"/>
    <mergeCell ref="A19:E19"/>
    <mergeCell ref="A20:E20"/>
    <mergeCell ref="A22:H22"/>
    <mergeCell ref="A28:E28"/>
    <mergeCell ref="A31:E3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59562-CFC6-412E-B381-EC2567847FE5}">
  <sheetPr>
    <pageSetUpPr fitToPage="1"/>
  </sheetPr>
  <dimension ref="A1:K37"/>
  <sheetViews>
    <sheetView topLeftCell="A16" workbookViewId="0">
      <selection activeCell="H17" sqref="H17"/>
    </sheetView>
  </sheetViews>
  <sheetFormatPr defaultRowHeight="15" x14ac:dyDescent="0.25"/>
  <cols>
    <col min="1" max="1" width="25.28515625" customWidth="1"/>
    <col min="2" max="2" width="11.42578125" customWidth="1"/>
    <col min="3" max="3" width="11.28515625" customWidth="1"/>
    <col min="4" max="4" width="12.28515625" customWidth="1"/>
    <col min="5" max="5" width="13.42578125" customWidth="1"/>
    <col min="6" max="6" width="12.7109375" customWidth="1"/>
    <col min="7" max="7" width="10.85546875" customWidth="1"/>
    <col min="8" max="8" width="11.42578125" customWidth="1"/>
    <col min="9" max="9" width="13" customWidth="1"/>
    <col min="10" max="10" width="9.7109375" customWidth="1"/>
    <col min="11" max="11" width="12.7109375" customWidth="1"/>
  </cols>
  <sheetData>
    <row r="1" spans="1:11" ht="15.75" x14ac:dyDescent="0.25">
      <c r="A1" s="250" t="s">
        <v>223</v>
      </c>
      <c r="B1" s="250"/>
      <c r="C1" s="250"/>
      <c r="D1" s="250"/>
      <c r="E1" s="250"/>
      <c r="F1" s="250"/>
      <c r="G1" s="250"/>
      <c r="H1" s="250"/>
    </row>
    <row r="2" spans="1:11" x14ac:dyDescent="0.25">
      <c r="A2" s="247" t="s">
        <v>7</v>
      </c>
      <c r="B2" s="263" t="s">
        <v>225</v>
      </c>
      <c r="C2" s="263" t="s">
        <v>224</v>
      </c>
      <c r="D2" s="263" t="s">
        <v>128</v>
      </c>
      <c r="E2" s="97"/>
      <c r="F2" s="263" t="s">
        <v>169</v>
      </c>
      <c r="G2" s="247" t="s">
        <v>136</v>
      </c>
      <c r="H2" s="247"/>
      <c r="I2" s="247"/>
    </row>
    <row r="3" spans="1:11" ht="73.150000000000006" customHeight="1" x14ac:dyDescent="0.25">
      <c r="A3" s="247"/>
      <c r="B3" s="263"/>
      <c r="C3" s="263"/>
      <c r="D3" s="263"/>
      <c r="E3" s="97" t="s">
        <v>232</v>
      </c>
      <c r="F3" s="263"/>
      <c r="G3" s="3" t="s">
        <v>185</v>
      </c>
      <c r="H3" s="3" t="s">
        <v>123</v>
      </c>
      <c r="I3" s="3" t="s">
        <v>120</v>
      </c>
      <c r="J3" s="3" t="s">
        <v>231</v>
      </c>
      <c r="K3" s="3" t="s">
        <v>233</v>
      </c>
    </row>
    <row r="4" spans="1:11" x14ac:dyDescent="0.25">
      <c r="A4" t="s">
        <v>37</v>
      </c>
      <c r="B4" s="10">
        <f>'Electrcity Entry Form'!E3</f>
        <v>15593</v>
      </c>
      <c r="C4" s="23">
        <v>0</v>
      </c>
      <c r="D4" s="23"/>
      <c r="E4" s="23">
        <f>B4</f>
        <v>15593</v>
      </c>
      <c r="F4" s="23">
        <f>B4+D4</f>
        <v>15593</v>
      </c>
      <c r="G4" s="23">
        <f>-(F4*0.56)</f>
        <v>-8732.08</v>
      </c>
      <c r="H4" s="10">
        <f>F4+G4</f>
        <v>6860.92</v>
      </c>
      <c r="I4" s="10">
        <f>ROUND(H4,-2)</f>
        <v>6900</v>
      </c>
    </row>
    <row r="5" spans="1:11" x14ac:dyDescent="0.25">
      <c r="A5" s="7" t="s">
        <v>19</v>
      </c>
      <c r="B5" s="10">
        <f>'Electrcity Entry Form'!E4</f>
        <v>2141</v>
      </c>
      <c r="C5" s="23">
        <v>0</v>
      </c>
      <c r="D5" s="23"/>
      <c r="E5" s="23">
        <f t="shared" ref="E5:E6" si="0">B5</f>
        <v>2141</v>
      </c>
      <c r="F5" s="23">
        <f t="shared" ref="F5:F16" si="1">B5+D5</f>
        <v>2141</v>
      </c>
      <c r="G5" s="23">
        <f t="shared" ref="G5:G16" si="2">-(F5*0.56)</f>
        <v>-1198.96</v>
      </c>
      <c r="H5" s="10">
        <f t="shared" ref="H5:H16" si="3">F5+G5</f>
        <v>942.04</v>
      </c>
      <c r="I5" s="10">
        <f t="shared" ref="I5:I16" si="4">ROUND(H5,-2)</f>
        <v>900</v>
      </c>
    </row>
    <row r="6" spans="1:11" x14ac:dyDescent="0.25">
      <c r="A6" t="s">
        <v>48</v>
      </c>
      <c r="B6" s="10">
        <f>'Electrcity Entry Form'!E5</f>
        <v>285600</v>
      </c>
      <c r="C6" s="23">
        <v>0</v>
      </c>
      <c r="D6" s="23">
        <f>-'Renewable Electricity'!D32*0.7368</f>
        <v>-150196.68</v>
      </c>
      <c r="E6" s="23">
        <f t="shared" si="0"/>
        <v>285600</v>
      </c>
      <c r="F6" s="23">
        <f t="shared" si="1"/>
        <v>135403.32</v>
      </c>
      <c r="G6" s="23">
        <f t="shared" si="2"/>
        <v>-75825.859200000006</v>
      </c>
      <c r="H6" s="10">
        <f t="shared" si="3"/>
        <v>59577.460800000001</v>
      </c>
      <c r="I6" s="10">
        <f t="shared" si="4"/>
        <v>59600</v>
      </c>
    </row>
    <row r="7" spans="1:11" x14ac:dyDescent="0.25">
      <c r="A7" s="7" t="s">
        <v>18</v>
      </c>
      <c r="B7" s="10">
        <f>'Electrcity Entry Form'!E7</f>
        <v>3107</v>
      </c>
      <c r="C7" s="23">
        <f>-'Renewable Electricity'!D25</f>
        <v>-9879</v>
      </c>
      <c r="D7" s="23"/>
      <c r="E7" s="23">
        <f>'Renewable Electricity'!F25</f>
        <v>11123</v>
      </c>
      <c r="F7" s="23">
        <f t="shared" si="1"/>
        <v>3107</v>
      </c>
      <c r="G7" s="23">
        <f t="shared" si="2"/>
        <v>-1739.92</v>
      </c>
      <c r="H7" s="10">
        <f t="shared" si="3"/>
        <v>1367.08</v>
      </c>
      <c r="I7" s="10">
        <f t="shared" si="4"/>
        <v>1400</v>
      </c>
    </row>
    <row r="8" spans="1:11" x14ac:dyDescent="0.25">
      <c r="A8" t="s">
        <v>17</v>
      </c>
      <c r="B8" s="10">
        <f>'Electrcity Entry Form'!E8</f>
        <v>17320</v>
      </c>
      <c r="C8" s="23">
        <f>-'Renewable Electricity'!D26</f>
        <v>-46547</v>
      </c>
      <c r="D8" s="23"/>
      <c r="E8" s="23">
        <f>'Renewable Electricity'!F26</f>
        <v>53747</v>
      </c>
      <c r="F8" s="23">
        <f t="shared" si="1"/>
        <v>17320</v>
      </c>
      <c r="G8" s="23">
        <f t="shared" si="2"/>
        <v>-9699.2000000000007</v>
      </c>
      <c r="H8" s="10">
        <f t="shared" si="3"/>
        <v>7620.7999999999993</v>
      </c>
      <c r="I8" s="10">
        <f t="shared" si="4"/>
        <v>7600</v>
      </c>
    </row>
    <row r="9" spans="1:11" x14ac:dyDescent="0.25">
      <c r="A9" t="s">
        <v>55</v>
      </c>
      <c r="B9" s="10">
        <f>'Electrcity Entry Form'!E9</f>
        <v>6855</v>
      </c>
      <c r="C9" s="23">
        <v>0</v>
      </c>
      <c r="D9" s="23"/>
      <c r="E9" s="23">
        <f>B9</f>
        <v>6855</v>
      </c>
      <c r="F9" s="23">
        <f t="shared" si="1"/>
        <v>6855</v>
      </c>
      <c r="G9" s="23">
        <f t="shared" si="2"/>
        <v>-3838.8</v>
      </c>
      <c r="H9" s="10">
        <f t="shared" si="3"/>
        <v>3016.2</v>
      </c>
      <c r="I9" s="10">
        <f t="shared" si="4"/>
        <v>3000</v>
      </c>
    </row>
    <row r="10" spans="1:11" x14ac:dyDescent="0.25">
      <c r="A10" t="s">
        <v>56</v>
      </c>
      <c r="B10" s="10">
        <f>'Electrcity Entry Form'!E10</f>
        <v>6801</v>
      </c>
      <c r="C10" s="23">
        <f>-'Renewable Electricity'!D27</f>
        <v>-5600</v>
      </c>
      <c r="D10" s="23"/>
      <c r="E10" s="23">
        <f>B10-C10</f>
        <v>12401</v>
      </c>
      <c r="F10" s="23">
        <f t="shared" si="1"/>
        <v>6801</v>
      </c>
      <c r="G10" s="23">
        <f t="shared" si="2"/>
        <v>-3808.5600000000004</v>
      </c>
      <c r="H10" s="10">
        <f t="shared" si="3"/>
        <v>2992.4399999999996</v>
      </c>
      <c r="I10" s="10">
        <f t="shared" si="4"/>
        <v>3000</v>
      </c>
    </row>
    <row r="11" spans="1:11" x14ac:dyDescent="0.25">
      <c r="A11" s="7" t="s">
        <v>25</v>
      </c>
      <c r="B11" s="22">
        <f>'Electrcity Entry Form'!E11</f>
        <v>943</v>
      </c>
      <c r="C11" s="23">
        <v>0</v>
      </c>
      <c r="D11" s="23"/>
      <c r="E11" s="23">
        <f>B11</f>
        <v>943</v>
      </c>
      <c r="F11" s="23">
        <f t="shared" si="1"/>
        <v>943</v>
      </c>
      <c r="G11" s="23">
        <f t="shared" si="2"/>
        <v>-528.08000000000004</v>
      </c>
      <c r="H11" s="10">
        <f t="shared" si="3"/>
        <v>414.91999999999996</v>
      </c>
      <c r="I11" s="10">
        <f t="shared" si="4"/>
        <v>400</v>
      </c>
    </row>
    <row r="12" spans="1:11" x14ac:dyDescent="0.25">
      <c r="A12" s="7" t="s">
        <v>57</v>
      </c>
      <c r="B12" s="10">
        <f>'Electrcity Entry Form'!E13</f>
        <v>404720</v>
      </c>
      <c r="C12" s="23">
        <f>-('Renewable Electricity'!D28+'Renewable Electricity'!D29)</f>
        <v>-117245</v>
      </c>
      <c r="D12" s="23">
        <f>-'Renewable Electricity'!D32*0.2632</f>
        <v>-53653.32</v>
      </c>
      <c r="E12" s="23">
        <f>B12-C12</f>
        <v>521965</v>
      </c>
      <c r="F12" s="23">
        <f t="shared" si="1"/>
        <v>351066.68</v>
      </c>
      <c r="G12" s="23">
        <f t="shared" si="2"/>
        <v>-196597.34080000001</v>
      </c>
      <c r="H12" s="10">
        <f t="shared" si="3"/>
        <v>154469.33919999999</v>
      </c>
      <c r="I12" s="10">
        <f t="shared" si="4"/>
        <v>154500</v>
      </c>
    </row>
    <row r="13" spans="1:11" x14ac:dyDescent="0.25">
      <c r="A13" s="7" t="s">
        <v>21</v>
      </c>
      <c r="B13" s="10">
        <f>'Electrcity Entry Form'!E14</f>
        <v>5218</v>
      </c>
      <c r="C13" s="23">
        <v>0</v>
      </c>
      <c r="D13" s="23"/>
      <c r="E13" s="23">
        <f t="shared" ref="E13:E16" si="5">B13</f>
        <v>5218</v>
      </c>
      <c r="F13" s="23">
        <f t="shared" si="1"/>
        <v>5218</v>
      </c>
      <c r="G13" s="23">
        <f t="shared" si="2"/>
        <v>-2922.0800000000004</v>
      </c>
      <c r="H13" s="10">
        <f t="shared" si="3"/>
        <v>2295.9199999999996</v>
      </c>
      <c r="I13" s="10">
        <f t="shared" si="4"/>
        <v>2300</v>
      </c>
    </row>
    <row r="14" spans="1:11" x14ac:dyDescent="0.25">
      <c r="A14" s="7" t="s">
        <v>194</v>
      </c>
      <c r="B14" s="10">
        <f>'Electrcity Entry Form'!E17</f>
        <v>1060</v>
      </c>
      <c r="C14" s="23">
        <v>0</v>
      </c>
      <c r="D14" s="23"/>
      <c r="E14" s="23">
        <f t="shared" si="5"/>
        <v>1060</v>
      </c>
      <c r="F14" s="23">
        <f t="shared" si="1"/>
        <v>1060</v>
      </c>
      <c r="G14" s="23">
        <f t="shared" si="2"/>
        <v>-593.6</v>
      </c>
      <c r="H14" s="10">
        <f t="shared" si="3"/>
        <v>466.4</v>
      </c>
      <c r="I14" s="10">
        <f t="shared" si="4"/>
        <v>500</v>
      </c>
    </row>
    <row r="15" spans="1:11" x14ac:dyDescent="0.25">
      <c r="A15" s="7" t="s">
        <v>195</v>
      </c>
      <c r="B15" s="10">
        <f>'Electrcity Entry Form'!E18</f>
        <v>9759</v>
      </c>
      <c r="C15" s="23">
        <v>0</v>
      </c>
      <c r="D15" s="23"/>
      <c r="E15" s="23">
        <f t="shared" si="5"/>
        <v>9759</v>
      </c>
      <c r="F15" s="23">
        <f t="shared" si="1"/>
        <v>9759</v>
      </c>
      <c r="G15" s="23">
        <f t="shared" si="2"/>
        <v>-5465.0400000000009</v>
      </c>
      <c r="H15" s="10">
        <f t="shared" si="3"/>
        <v>4293.9599999999991</v>
      </c>
      <c r="I15" s="10">
        <f t="shared" si="4"/>
        <v>4300</v>
      </c>
    </row>
    <row r="16" spans="1:11" x14ac:dyDescent="0.25">
      <c r="A16" s="7" t="s">
        <v>263</v>
      </c>
      <c r="B16" s="10">
        <f>'Electrcity Entry Form'!E19</f>
        <v>6047</v>
      </c>
      <c r="C16" s="23">
        <v>0</v>
      </c>
      <c r="D16" s="23"/>
      <c r="E16" s="23">
        <f t="shared" si="5"/>
        <v>6047</v>
      </c>
      <c r="F16" s="23">
        <f t="shared" si="1"/>
        <v>6047</v>
      </c>
      <c r="G16" s="23">
        <f t="shared" si="2"/>
        <v>-3386.32</v>
      </c>
      <c r="H16" s="10">
        <f t="shared" si="3"/>
        <v>2660.68</v>
      </c>
      <c r="I16" s="10">
        <f t="shared" si="4"/>
        <v>2700</v>
      </c>
    </row>
    <row r="17" spans="1:11" x14ac:dyDescent="0.25">
      <c r="A17" s="7" t="s">
        <v>186</v>
      </c>
      <c r="B17" s="10">
        <f t="shared" ref="B17:I17" si="6">SUM(B4:B16)</f>
        <v>765164</v>
      </c>
      <c r="C17" s="23">
        <f t="shared" si="6"/>
        <v>-179271</v>
      </c>
      <c r="D17" s="23">
        <f t="shared" si="6"/>
        <v>-203850</v>
      </c>
      <c r="E17" s="23">
        <f t="shared" si="6"/>
        <v>932452</v>
      </c>
      <c r="F17" s="23">
        <f t="shared" si="6"/>
        <v>561314</v>
      </c>
      <c r="G17" s="23">
        <f t="shared" si="6"/>
        <v>-314335.84000000003</v>
      </c>
      <c r="H17" s="10">
        <f t="shared" si="6"/>
        <v>246978.16</v>
      </c>
      <c r="I17" s="10">
        <f t="shared" si="6"/>
        <v>247100</v>
      </c>
      <c r="J17" s="2">
        <f>H17/E17</f>
        <v>0.26486956969366787</v>
      </c>
      <c r="K17" s="2">
        <f>-(C17+D17+G17)/E17</f>
        <v>0.74798149395357627</v>
      </c>
    </row>
    <row r="18" spans="1:11" x14ac:dyDescent="0.25">
      <c r="A18" s="262"/>
      <c r="B18" s="262"/>
      <c r="C18" s="262"/>
      <c r="D18" s="262"/>
      <c r="E18" s="262"/>
      <c r="F18" s="23"/>
      <c r="G18" s="10"/>
      <c r="H18" s="10"/>
    </row>
    <row r="19" spans="1:11" x14ac:dyDescent="0.25">
      <c r="A19" s="262" t="s">
        <v>171</v>
      </c>
      <c r="B19" s="262"/>
      <c r="C19" s="262"/>
      <c r="D19" s="262"/>
      <c r="E19" s="262"/>
      <c r="F19" s="23"/>
      <c r="G19" s="10"/>
      <c r="H19" s="26">
        <f>I17</f>
        <v>247100</v>
      </c>
    </row>
    <row r="20" spans="1:11" ht="18" customHeight="1" x14ac:dyDescent="0.25">
      <c r="A20" s="262" t="s">
        <v>121</v>
      </c>
      <c r="B20" s="262"/>
      <c r="C20" s="262"/>
      <c r="D20" s="262"/>
      <c r="E20" s="262"/>
      <c r="H20" s="25">
        <f>(H19/100)*0.59</f>
        <v>1457.8899999999999</v>
      </c>
    </row>
    <row r="22" spans="1:11" ht="15.75" x14ac:dyDescent="0.25">
      <c r="A22" s="250" t="s">
        <v>126</v>
      </c>
      <c r="B22" s="250"/>
      <c r="C22" s="250"/>
      <c r="D22" s="250"/>
      <c r="E22" s="250"/>
      <c r="F22" s="250"/>
      <c r="G22" s="250"/>
      <c r="H22" s="250"/>
    </row>
    <row r="23" spans="1:11" ht="60" x14ac:dyDescent="0.25">
      <c r="A23" t="s">
        <v>7</v>
      </c>
      <c r="B23" s="3" t="s">
        <v>226</v>
      </c>
      <c r="C23" s="3" t="s">
        <v>227</v>
      </c>
      <c r="D23" s="3" t="s">
        <v>128</v>
      </c>
      <c r="E23" s="3" t="s">
        <v>251</v>
      </c>
      <c r="F23" s="3" t="s">
        <v>130</v>
      </c>
      <c r="G23" s="3" t="s">
        <v>129</v>
      </c>
      <c r="H23" s="3" t="s">
        <v>120</v>
      </c>
    </row>
    <row r="24" spans="1:11" x14ac:dyDescent="0.25">
      <c r="A24" t="s">
        <v>47</v>
      </c>
      <c r="B24" s="10">
        <f>'Electrcity Entry Form'!E6</f>
        <v>128</v>
      </c>
      <c r="C24">
        <v>0</v>
      </c>
      <c r="E24" s="10">
        <f t="shared" ref="E24" si="7">SUM(B24:D24)</f>
        <v>128</v>
      </c>
      <c r="F24" s="23">
        <f>-(E24*0.24)</f>
        <v>-30.72</v>
      </c>
      <c r="G24" s="10">
        <f t="shared" ref="G24:G25" si="8">SUM(E24:F24)</f>
        <v>97.28</v>
      </c>
      <c r="H24" s="10">
        <f t="shared" ref="H24:H25" si="9">ROUND(G24,-2)</f>
        <v>100</v>
      </c>
    </row>
    <row r="25" spans="1:11" x14ac:dyDescent="0.25">
      <c r="A25" t="s">
        <v>84</v>
      </c>
      <c r="B25" s="10">
        <f>'Electrcity Entry Form'!E15</f>
        <v>8414</v>
      </c>
      <c r="C25">
        <v>0</v>
      </c>
      <c r="D25" s="23">
        <f>-'Renewable Electricity'!D31</f>
        <v>-5250</v>
      </c>
      <c r="E25" s="10">
        <f>B25</f>
        <v>8414</v>
      </c>
      <c r="F25" s="23">
        <f t="shared" ref="F25" si="10">-(E25*0.24)</f>
        <v>-2019.36</v>
      </c>
      <c r="G25" s="10">
        <f t="shared" si="8"/>
        <v>6394.64</v>
      </c>
      <c r="H25" s="10">
        <f t="shared" si="9"/>
        <v>6400</v>
      </c>
    </row>
    <row r="26" spans="1:11" x14ac:dyDescent="0.25">
      <c r="A26" t="s">
        <v>187</v>
      </c>
      <c r="B26" s="10">
        <f t="shared" ref="B26:H26" si="11">SUM(B24:B25)</f>
        <v>8542</v>
      </c>
      <c r="C26" s="10">
        <f t="shared" si="11"/>
        <v>0</v>
      </c>
      <c r="D26" s="23">
        <f t="shared" si="11"/>
        <v>-5250</v>
      </c>
      <c r="E26" s="10">
        <f t="shared" si="11"/>
        <v>8542</v>
      </c>
      <c r="F26" s="23">
        <f t="shared" si="11"/>
        <v>-2050.08</v>
      </c>
      <c r="G26" s="23">
        <f t="shared" si="11"/>
        <v>6491.92</v>
      </c>
      <c r="H26" s="10">
        <f t="shared" si="11"/>
        <v>6500</v>
      </c>
    </row>
    <row r="27" spans="1:11" x14ac:dyDescent="0.25">
      <c r="A27" s="247" t="s">
        <v>139</v>
      </c>
      <c r="B27" s="247"/>
      <c r="C27" s="247"/>
      <c r="D27" s="247"/>
      <c r="E27" s="247"/>
      <c r="H27" s="25">
        <f>H26/100</f>
        <v>65</v>
      </c>
    </row>
    <row r="28" spans="1:11" x14ac:dyDescent="0.25">
      <c r="A28" s="96"/>
      <c r="B28" s="96"/>
      <c r="C28" s="96"/>
      <c r="D28" s="96"/>
      <c r="E28" s="96"/>
      <c r="H28" s="25"/>
    </row>
    <row r="29" spans="1:11" x14ac:dyDescent="0.25">
      <c r="A29" s="7" t="s">
        <v>23</v>
      </c>
      <c r="B29" s="10">
        <f>'Electrcity Entry Form'!E12</f>
        <v>14196</v>
      </c>
      <c r="C29">
        <v>0</v>
      </c>
      <c r="E29" s="10">
        <f>SUM(B29:D29)</f>
        <v>14196</v>
      </c>
      <c r="F29" s="23">
        <f>-(E29*0.24)</f>
        <v>-3407.04</v>
      </c>
      <c r="G29" s="10">
        <f>SUM(E29:F29)</f>
        <v>10788.96</v>
      </c>
      <c r="H29" s="10">
        <f t="shared" ref="H29" si="12">ROUND(G29,-2)</f>
        <v>10800</v>
      </c>
    </row>
    <row r="30" spans="1:11" ht="16.149999999999999" customHeight="1" x14ac:dyDescent="0.25">
      <c r="A30" s="262" t="s">
        <v>188</v>
      </c>
      <c r="B30" s="262"/>
      <c r="C30" s="262"/>
      <c r="D30" s="262"/>
      <c r="E30" s="262"/>
      <c r="F30" s="23"/>
      <c r="G30" s="10"/>
      <c r="H30" s="25">
        <f>(H29/100)*1.5</f>
        <v>162</v>
      </c>
    </row>
    <row r="31" spans="1:11" ht="16.149999999999999" customHeight="1" x14ac:dyDescent="0.25">
      <c r="A31" s="98"/>
      <c r="B31" s="98"/>
      <c r="C31" s="98"/>
      <c r="D31" s="98"/>
      <c r="E31" s="98"/>
      <c r="F31" s="23"/>
      <c r="G31" s="10"/>
      <c r="H31" s="25"/>
    </row>
    <row r="32" spans="1:11" ht="16.149999999999999" customHeight="1" x14ac:dyDescent="0.25">
      <c r="A32" s="261" t="s">
        <v>234</v>
      </c>
      <c r="B32" s="261"/>
      <c r="C32" s="261"/>
      <c r="D32" s="261"/>
      <c r="E32" s="261"/>
      <c r="F32" s="261"/>
      <c r="G32" s="261"/>
      <c r="H32" s="261"/>
    </row>
    <row r="33" spans="1:9" ht="30" x14ac:dyDescent="0.25">
      <c r="A33" s="7"/>
      <c r="B33" s="10" t="s">
        <v>235</v>
      </c>
      <c r="C33" t="s">
        <v>236</v>
      </c>
      <c r="D33" t="s">
        <v>237</v>
      </c>
      <c r="E33" s="10"/>
      <c r="F33" s="101" t="s">
        <v>238</v>
      </c>
      <c r="G33" s="102" t="s">
        <v>239</v>
      </c>
      <c r="H33" s="10" t="s">
        <v>120</v>
      </c>
    </row>
    <row r="34" spans="1:9" x14ac:dyDescent="0.25">
      <c r="A34" t="s">
        <v>124</v>
      </c>
      <c r="B34" s="10">
        <f t="shared" ref="B34:D34" si="13">B17+B26+B29</f>
        <v>787902</v>
      </c>
      <c r="C34" s="23">
        <f t="shared" si="13"/>
        <v>-179271</v>
      </c>
      <c r="D34" s="23">
        <f t="shared" si="13"/>
        <v>-209100</v>
      </c>
      <c r="E34" s="10"/>
      <c r="F34" s="23">
        <f>G17+F26+F29</f>
        <v>-319792.96000000002</v>
      </c>
      <c r="G34" s="23">
        <f>H17+G26+G29</f>
        <v>264259.04000000004</v>
      </c>
      <c r="H34" s="23">
        <f>H19+H26+H29</f>
        <v>264400</v>
      </c>
    </row>
    <row r="35" spans="1:9" x14ac:dyDescent="0.25">
      <c r="A35" t="s">
        <v>172</v>
      </c>
      <c r="B35" s="10">
        <f>'Renewable Electricity'!D34</f>
        <v>184521</v>
      </c>
      <c r="C35" s="23"/>
      <c r="D35" s="23"/>
      <c r="E35" s="10"/>
      <c r="F35" s="23"/>
      <c r="G35" s="23"/>
      <c r="H35" s="103" t="s">
        <v>240</v>
      </c>
    </row>
    <row r="36" spans="1:9" x14ac:dyDescent="0.25">
      <c r="A36" t="s">
        <v>161</v>
      </c>
      <c r="D36" s="23">
        <f>-D34-C34</f>
        <v>388371</v>
      </c>
      <c r="E36" s="28" t="s">
        <v>228</v>
      </c>
      <c r="H36" s="25">
        <f>H20+H27+H30</f>
        <v>1684.8899999999999</v>
      </c>
      <c r="I36" s="24"/>
    </row>
    <row r="37" spans="1:9" x14ac:dyDescent="0.25">
      <c r="A37" t="s">
        <v>173</v>
      </c>
      <c r="B37" s="10">
        <f>B35+B34</f>
        <v>972423</v>
      </c>
      <c r="C37" s="28" t="s">
        <v>262</v>
      </c>
    </row>
  </sheetData>
  <mergeCells count="14">
    <mergeCell ref="A32:H32"/>
    <mergeCell ref="A30:E30"/>
    <mergeCell ref="A1:H1"/>
    <mergeCell ref="A2:A3"/>
    <mergeCell ref="B2:B3"/>
    <mergeCell ref="C2:C3"/>
    <mergeCell ref="D2:D3"/>
    <mergeCell ref="F2:F3"/>
    <mergeCell ref="G2:I2"/>
    <mergeCell ref="A18:E18"/>
    <mergeCell ref="A19:E19"/>
    <mergeCell ref="A20:E20"/>
    <mergeCell ref="A22:H22"/>
    <mergeCell ref="A27:E27"/>
  </mergeCells>
  <printOptions gridLines="1"/>
  <pageMargins left="0.7" right="0.7" top="0.75" bottom="0.75" header="0.3" footer="0.3"/>
  <pageSetup scale="7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C4B20-2ABE-4163-A80C-F03CAAEFDE26}">
  <sheetPr>
    <pageSetUpPr fitToPage="1"/>
  </sheetPr>
  <dimension ref="A1:J32"/>
  <sheetViews>
    <sheetView workbookViewId="0">
      <selection sqref="A1:H1"/>
    </sheetView>
  </sheetViews>
  <sheetFormatPr defaultRowHeight="15" x14ac:dyDescent="0.25"/>
  <cols>
    <col min="1" max="1" width="25.28515625" customWidth="1"/>
    <col min="2" max="2" width="11.42578125" customWidth="1"/>
    <col min="3" max="3" width="11.28515625" customWidth="1"/>
    <col min="4" max="4" width="10.5703125" customWidth="1"/>
    <col min="5" max="5" width="13.42578125" customWidth="1"/>
    <col min="6" max="6" width="12.7109375" customWidth="1"/>
    <col min="7" max="7" width="10.85546875" customWidth="1"/>
    <col min="8" max="8" width="11.42578125" customWidth="1"/>
    <col min="9" max="9" width="13" customWidth="1"/>
    <col min="10" max="10" width="10.7109375" customWidth="1"/>
  </cols>
  <sheetData>
    <row r="1" spans="1:10" ht="15.75" x14ac:dyDescent="0.25">
      <c r="A1" s="250" t="s">
        <v>122</v>
      </c>
      <c r="B1" s="250"/>
      <c r="C1" s="250"/>
      <c r="D1" s="250"/>
      <c r="E1" s="250"/>
      <c r="F1" s="250"/>
      <c r="G1" s="250"/>
      <c r="H1" s="250"/>
    </row>
    <row r="2" spans="1:10" x14ac:dyDescent="0.25">
      <c r="A2" s="247" t="s">
        <v>7</v>
      </c>
      <c r="B2" s="263" t="s">
        <v>167</v>
      </c>
      <c r="C2" s="263" t="s">
        <v>168</v>
      </c>
      <c r="D2" s="263" t="s">
        <v>128</v>
      </c>
      <c r="E2" s="263" t="s">
        <v>169</v>
      </c>
      <c r="F2" s="247" t="s">
        <v>136</v>
      </c>
      <c r="G2" s="247"/>
      <c r="H2" s="247"/>
    </row>
    <row r="3" spans="1:10" ht="73.150000000000006" customHeight="1" x14ac:dyDescent="0.25">
      <c r="A3" s="247"/>
      <c r="B3" s="263"/>
      <c r="C3" s="263"/>
      <c r="D3" s="263"/>
      <c r="E3" s="263"/>
      <c r="F3" s="3" t="s">
        <v>185</v>
      </c>
      <c r="G3" s="3" t="s">
        <v>123</v>
      </c>
      <c r="H3" s="3" t="s">
        <v>120</v>
      </c>
      <c r="I3" s="3" t="s">
        <v>192</v>
      </c>
      <c r="J3" s="3" t="s">
        <v>191</v>
      </c>
    </row>
    <row r="4" spans="1:10" x14ac:dyDescent="0.25">
      <c r="A4" t="s">
        <v>37</v>
      </c>
      <c r="B4" s="10">
        <f>'Electrcity Entry Form'!G3</f>
        <v>15431</v>
      </c>
      <c r="C4" s="23">
        <v>0</v>
      </c>
      <c r="D4" s="23"/>
      <c r="E4" s="23">
        <f t="shared" ref="E4:E13" si="0">SUM(B4:D4)</f>
        <v>15431</v>
      </c>
      <c r="F4" s="23">
        <f>-(E4*0.56)</f>
        <v>-8641.36</v>
      </c>
      <c r="G4" s="10">
        <f>E4+F4</f>
        <v>6789.6399999999994</v>
      </c>
      <c r="H4" s="10">
        <f>ROUND(G4,-2)</f>
        <v>6800</v>
      </c>
    </row>
    <row r="5" spans="1:10" x14ac:dyDescent="0.25">
      <c r="A5" s="7" t="s">
        <v>19</v>
      </c>
      <c r="B5" s="10">
        <f>'Electrcity Entry Form'!G4</f>
        <v>2112</v>
      </c>
      <c r="C5" s="23">
        <v>0</v>
      </c>
      <c r="D5" s="23"/>
      <c r="E5" s="23">
        <f t="shared" si="0"/>
        <v>2112</v>
      </c>
      <c r="F5" s="23">
        <f t="shared" ref="F5:F13" si="1">-(E5*0.56)</f>
        <v>-1182.72</v>
      </c>
      <c r="G5" s="10">
        <f t="shared" ref="G5:G13" si="2">E5+F5</f>
        <v>929.28</v>
      </c>
      <c r="H5" s="10">
        <f t="shared" ref="H5:H15" si="3">ROUND(G5,-2)</f>
        <v>900</v>
      </c>
    </row>
    <row r="6" spans="1:10" x14ac:dyDescent="0.25">
      <c r="A6" t="s">
        <v>48</v>
      </c>
      <c r="B6" s="10">
        <f>'Electrcity Entry Form'!G5</f>
        <v>299680</v>
      </c>
      <c r="C6" s="23">
        <v>0</v>
      </c>
      <c r="D6" s="23">
        <f>-'Renewable Electricity'!O47*72%</f>
        <v>-147171.83999999997</v>
      </c>
      <c r="E6" s="23">
        <f t="shared" si="0"/>
        <v>152508.16000000003</v>
      </c>
      <c r="F6" s="23">
        <f t="shared" si="1"/>
        <v>-85404.569600000032</v>
      </c>
      <c r="G6" s="10">
        <f t="shared" si="2"/>
        <v>67103.590400000001</v>
      </c>
      <c r="H6" s="10">
        <f t="shared" si="3"/>
        <v>67100</v>
      </c>
    </row>
    <row r="7" spans="1:10" x14ac:dyDescent="0.25">
      <c r="A7" s="7" t="s">
        <v>18</v>
      </c>
      <c r="B7" s="10">
        <f>'Electrcity Entry Form'!G7</f>
        <v>11002</v>
      </c>
      <c r="C7" s="23">
        <f>-'Renewable Electricity'!O40</f>
        <v>-10080</v>
      </c>
      <c r="D7" s="23"/>
      <c r="E7" s="23">
        <f t="shared" si="0"/>
        <v>922</v>
      </c>
      <c r="F7" s="23">
        <f t="shared" si="1"/>
        <v>-516.32000000000005</v>
      </c>
      <c r="G7" s="10">
        <f t="shared" si="2"/>
        <v>405.67999999999995</v>
      </c>
      <c r="H7" s="10">
        <f t="shared" si="3"/>
        <v>400</v>
      </c>
    </row>
    <row r="8" spans="1:10" x14ac:dyDescent="0.25">
      <c r="A8" t="s">
        <v>17</v>
      </c>
      <c r="B8" s="10">
        <f>'Electrcity Entry Form'!G8</f>
        <v>56880</v>
      </c>
      <c r="C8" s="23">
        <f>-'Renewable Electricity'!O41</f>
        <v>-53160</v>
      </c>
      <c r="D8" s="23"/>
      <c r="E8" s="23">
        <f t="shared" si="0"/>
        <v>3720</v>
      </c>
      <c r="F8" s="23">
        <f t="shared" si="1"/>
        <v>-2083.2000000000003</v>
      </c>
      <c r="G8" s="10">
        <f t="shared" si="2"/>
        <v>1636.7999999999997</v>
      </c>
      <c r="H8" s="10">
        <f t="shared" si="3"/>
        <v>1600</v>
      </c>
    </row>
    <row r="9" spans="1:10" x14ac:dyDescent="0.25">
      <c r="A9" t="s">
        <v>55</v>
      </c>
      <c r="B9" s="10">
        <f>'Electrcity Entry Form'!G9</f>
        <v>1789</v>
      </c>
      <c r="C9" s="23">
        <v>0</v>
      </c>
      <c r="D9" s="23"/>
      <c r="E9" s="23">
        <f t="shared" si="0"/>
        <v>1789</v>
      </c>
      <c r="F9" s="23">
        <f t="shared" si="1"/>
        <v>-1001.8400000000001</v>
      </c>
      <c r="G9" s="10">
        <f t="shared" si="2"/>
        <v>787.15999999999985</v>
      </c>
      <c r="H9" s="10">
        <f t="shared" si="3"/>
        <v>800</v>
      </c>
    </row>
    <row r="10" spans="1:10" x14ac:dyDescent="0.25">
      <c r="A10" t="s">
        <v>56</v>
      </c>
      <c r="B10" s="10">
        <f>'Electrcity Entry Form'!G10</f>
        <v>5527</v>
      </c>
      <c r="C10" s="23">
        <v>0</v>
      </c>
      <c r="D10" s="23"/>
      <c r="E10" s="23">
        <f t="shared" si="0"/>
        <v>5527</v>
      </c>
      <c r="F10" s="23">
        <f t="shared" si="1"/>
        <v>-3095.1200000000003</v>
      </c>
      <c r="G10" s="10">
        <f t="shared" si="2"/>
        <v>2431.8799999999997</v>
      </c>
      <c r="H10" s="10">
        <f t="shared" si="3"/>
        <v>2400</v>
      </c>
    </row>
    <row r="11" spans="1:10" x14ac:dyDescent="0.25">
      <c r="A11" s="7" t="s">
        <v>25</v>
      </c>
      <c r="B11" s="22">
        <f>'Electrcity Entry Form'!G11</f>
        <v>2070</v>
      </c>
      <c r="C11" s="23">
        <v>0</v>
      </c>
      <c r="D11" s="23"/>
      <c r="E11" s="23">
        <f t="shared" si="0"/>
        <v>2070</v>
      </c>
      <c r="F11" s="23">
        <f t="shared" si="1"/>
        <v>-1159.2</v>
      </c>
      <c r="G11" s="10">
        <f t="shared" si="2"/>
        <v>910.8</v>
      </c>
      <c r="H11" s="10">
        <f t="shared" si="3"/>
        <v>900</v>
      </c>
    </row>
    <row r="12" spans="1:10" x14ac:dyDescent="0.25">
      <c r="A12" s="7" t="s">
        <v>57</v>
      </c>
      <c r="B12" s="10">
        <f>'Electrcity Entry Form'!G13</f>
        <v>549840</v>
      </c>
      <c r="C12" s="23">
        <f>-'Renewable Electricity'!O44</f>
        <v>-133680</v>
      </c>
      <c r="D12" s="23">
        <f>-'Renewable Electricity'!O47*28%</f>
        <v>-57233.493333333332</v>
      </c>
      <c r="E12" s="23">
        <f t="shared" si="0"/>
        <v>358926.50666666665</v>
      </c>
      <c r="F12" s="23">
        <f t="shared" si="1"/>
        <v>-200998.84373333334</v>
      </c>
      <c r="G12" s="10">
        <f t="shared" si="2"/>
        <v>157927.66293333331</v>
      </c>
      <c r="H12" s="10">
        <f t="shared" si="3"/>
        <v>157900</v>
      </c>
    </row>
    <row r="13" spans="1:10" x14ac:dyDescent="0.25">
      <c r="A13" s="7" t="s">
        <v>21</v>
      </c>
      <c r="B13" s="10">
        <f>'Electrcity Entry Form'!G14</f>
        <v>5895</v>
      </c>
      <c r="C13" s="23">
        <v>0</v>
      </c>
      <c r="D13" s="23"/>
      <c r="E13" s="23">
        <f t="shared" si="0"/>
        <v>5895</v>
      </c>
      <c r="F13" s="23">
        <f t="shared" si="1"/>
        <v>-3301.2000000000003</v>
      </c>
      <c r="G13" s="10">
        <f t="shared" si="2"/>
        <v>2593.7999999999997</v>
      </c>
      <c r="H13" s="10">
        <f t="shared" si="3"/>
        <v>2600</v>
      </c>
    </row>
    <row r="14" spans="1:10" x14ac:dyDescent="0.25">
      <c r="A14" s="7" t="s">
        <v>186</v>
      </c>
      <c r="B14" s="10">
        <f>SUM(B4:B13)</f>
        <v>950226</v>
      </c>
      <c r="C14" s="23">
        <f>SUM(C4:C13)</f>
        <v>-196920</v>
      </c>
      <c r="D14" s="23">
        <f>SUM(D4:D13)</f>
        <v>-204405.33333333331</v>
      </c>
      <c r="E14" s="23">
        <f>SUM(E4:E13)</f>
        <v>548900.66666666674</v>
      </c>
      <c r="F14" s="23">
        <f>SUM(F4:F13)</f>
        <v>-307384.37333333335</v>
      </c>
      <c r="G14" s="10">
        <f t="shared" ref="G14:H14" si="4">SUM(G4:G13)</f>
        <v>241516.29333333331</v>
      </c>
      <c r="H14" s="10">
        <f t="shared" si="4"/>
        <v>241400</v>
      </c>
      <c r="I14" s="2">
        <f>G14/B14</f>
        <v>0.25416721215093391</v>
      </c>
      <c r="J14" s="2">
        <f>-(C14+D14+F14)/B14</f>
        <v>0.74583278784906604</v>
      </c>
    </row>
    <row r="15" spans="1:10" x14ac:dyDescent="0.25">
      <c r="A15" s="262" t="s">
        <v>170</v>
      </c>
      <c r="B15" s="262"/>
      <c r="C15" s="262"/>
      <c r="D15" s="262"/>
      <c r="E15" s="262"/>
      <c r="F15" s="23"/>
      <c r="G15" s="10">
        <v>0</v>
      </c>
      <c r="H15" s="10">
        <f t="shared" si="3"/>
        <v>0</v>
      </c>
    </row>
    <row r="16" spans="1:10" x14ac:dyDescent="0.25">
      <c r="A16" s="262" t="s">
        <v>171</v>
      </c>
      <c r="B16" s="262"/>
      <c r="C16" s="262"/>
      <c r="D16" s="262"/>
      <c r="E16" s="262"/>
      <c r="F16" s="23"/>
      <c r="G16" s="10"/>
      <c r="H16" s="10">
        <f>H14</f>
        <v>241400</v>
      </c>
    </row>
    <row r="17" spans="1:9" ht="18" customHeight="1" x14ac:dyDescent="0.25">
      <c r="A17" s="262" t="s">
        <v>121</v>
      </c>
      <c r="B17" s="262"/>
      <c r="C17" s="262"/>
      <c r="D17" s="262"/>
      <c r="E17" s="262"/>
      <c r="H17" s="25">
        <f>(H16/100)*0.59</f>
        <v>1424.26</v>
      </c>
    </row>
    <row r="19" spans="1:9" ht="15.75" x14ac:dyDescent="0.25">
      <c r="A19" s="250" t="s">
        <v>126</v>
      </c>
      <c r="B19" s="250"/>
      <c r="C19" s="250"/>
      <c r="D19" s="250"/>
      <c r="E19" s="250"/>
      <c r="F19" s="250"/>
      <c r="G19" s="250"/>
      <c r="H19" s="250"/>
    </row>
    <row r="20" spans="1:9" ht="60" x14ac:dyDescent="0.25">
      <c r="A20" t="s">
        <v>7</v>
      </c>
      <c r="B20" s="3" t="s">
        <v>118</v>
      </c>
      <c r="C20" s="3" t="s">
        <v>127</v>
      </c>
      <c r="D20" s="3" t="s">
        <v>128</v>
      </c>
      <c r="E20" s="3" t="s">
        <v>119</v>
      </c>
      <c r="F20" s="3" t="s">
        <v>130</v>
      </c>
      <c r="G20" s="3" t="s">
        <v>129</v>
      </c>
      <c r="H20" s="3" t="s">
        <v>120</v>
      </c>
    </row>
    <row r="21" spans="1:9" x14ac:dyDescent="0.25">
      <c r="A21" t="s">
        <v>47</v>
      </c>
      <c r="B21" s="10">
        <f>'Electrcity Entry Form'!G6</f>
        <v>183</v>
      </c>
      <c r="C21">
        <v>0</v>
      </c>
      <c r="E21" s="10">
        <f t="shared" ref="E21:E22" si="5">SUM(B21:D21)</f>
        <v>183</v>
      </c>
      <c r="F21" s="23">
        <f>-(E21*0.24)</f>
        <v>-43.92</v>
      </c>
      <c r="G21" s="10">
        <f t="shared" ref="G21:G22" si="6">SUM(E21:F21)</f>
        <v>139.07999999999998</v>
      </c>
      <c r="H21" s="10">
        <f t="shared" ref="H21:H22" si="7">ROUND(G21,-2)</f>
        <v>100</v>
      </c>
    </row>
    <row r="22" spans="1:9" x14ac:dyDescent="0.25">
      <c r="A22" t="s">
        <v>84</v>
      </c>
      <c r="B22" s="10">
        <f>'Renewable Electricity'!D47</f>
        <v>13257.734375</v>
      </c>
      <c r="C22">
        <v>0</v>
      </c>
      <c r="D22" s="23">
        <f>-'Renewable Electricity'!O46</f>
        <v>-4588.734375</v>
      </c>
      <c r="E22" s="10">
        <f t="shared" si="5"/>
        <v>8669</v>
      </c>
      <c r="F22" s="23">
        <f t="shared" ref="F22" si="8">-(E22*0.24)</f>
        <v>-2080.56</v>
      </c>
      <c r="G22" s="10">
        <f t="shared" si="6"/>
        <v>6588.4400000000005</v>
      </c>
      <c r="H22" s="10">
        <f t="shared" si="7"/>
        <v>6600</v>
      </c>
    </row>
    <row r="23" spans="1:9" x14ac:dyDescent="0.25">
      <c r="A23" t="s">
        <v>187</v>
      </c>
      <c r="B23" s="10">
        <f t="shared" ref="B23:H23" si="9">SUM(B21:B22)</f>
        <v>13440.734375</v>
      </c>
      <c r="C23" s="10">
        <f t="shared" si="9"/>
        <v>0</v>
      </c>
      <c r="D23" s="23">
        <f t="shared" si="9"/>
        <v>-4588.734375</v>
      </c>
      <c r="E23" s="10">
        <f t="shared" si="9"/>
        <v>8852</v>
      </c>
      <c r="F23" s="23">
        <f t="shared" si="9"/>
        <v>-2124.48</v>
      </c>
      <c r="G23" s="23">
        <f t="shared" si="9"/>
        <v>6727.52</v>
      </c>
      <c r="H23" s="10">
        <f t="shared" si="9"/>
        <v>6700</v>
      </c>
    </row>
    <row r="24" spans="1:9" x14ac:dyDescent="0.25">
      <c r="A24" s="247" t="s">
        <v>139</v>
      </c>
      <c r="B24" s="247"/>
      <c r="C24" s="247"/>
      <c r="D24" s="247"/>
      <c r="E24" s="247"/>
      <c r="H24" s="25">
        <f>H23/100</f>
        <v>67</v>
      </c>
    </row>
    <row r="25" spans="1:9" x14ac:dyDescent="0.25">
      <c r="A25" s="29"/>
      <c r="B25" s="29"/>
      <c r="C25" s="29"/>
      <c r="D25" s="29"/>
      <c r="E25" s="29"/>
      <c r="H25" s="25"/>
    </row>
    <row r="26" spans="1:9" x14ac:dyDescent="0.25">
      <c r="A26" s="7" t="s">
        <v>23</v>
      </c>
      <c r="B26" s="10">
        <f>'Electrcity Entry Form'!G12</f>
        <v>13038.397328881469</v>
      </c>
      <c r="C26">
        <v>0</v>
      </c>
      <c r="E26" s="10">
        <f>SUM(B26:D26)</f>
        <v>13038.397328881469</v>
      </c>
      <c r="F26" s="23">
        <f>-(E26*0.24)</f>
        <v>-3129.2153589315521</v>
      </c>
      <c r="G26" s="10">
        <f>SUM(E26:F26)</f>
        <v>9909.1819699499174</v>
      </c>
      <c r="H26" s="10">
        <f t="shared" ref="H26" si="10">ROUND(G26,-2)</f>
        <v>9900</v>
      </c>
    </row>
    <row r="27" spans="1:9" ht="16.149999999999999" customHeight="1" x14ac:dyDescent="0.25">
      <c r="A27" s="262" t="s">
        <v>188</v>
      </c>
      <c r="B27" s="262"/>
      <c r="C27" s="262"/>
      <c r="D27" s="262"/>
      <c r="E27" s="262"/>
      <c r="F27" s="23"/>
      <c r="G27" s="10"/>
      <c r="H27" s="25">
        <f>(H26/100)*1.5</f>
        <v>148.5</v>
      </c>
    </row>
    <row r="28" spans="1:9" x14ac:dyDescent="0.25">
      <c r="A28" s="7"/>
      <c r="B28" s="10"/>
      <c r="E28" s="10"/>
      <c r="F28" s="23"/>
      <c r="G28" s="10"/>
      <c r="H28" s="10"/>
    </row>
    <row r="29" spans="1:9" x14ac:dyDescent="0.25">
      <c r="A29" t="s">
        <v>124</v>
      </c>
      <c r="B29" s="10">
        <f t="shared" ref="B29:G29" si="11">B14+B23+B26</f>
        <v>976705.13170388143</v>
      </c>
      <c r="C29" s="23">
        <f t="shared" si="11"/>
        <v>-196920</v>
      </c>
      <c r="D29" s="23">
        <f>D14+D23</f>
        <v>-208994.06770833331</v>
      </c>
      <c r="E29" s="10">
        <f t="shared" si="11"/>
        <v>570791.06399554817</v>
      </c>
      <c r="F29" s="23">
        <f t="shared" si="11"/>
        <v>-312638.0686922649</v>
      </c>
      <c r="G29" s="23">
        <f t="shared" si="11"/>
        <v>258152.99530328321</v>
      </c>
      <c r="H29" s="23">
        <f>H16+H23+H26</f>
        <v>258000</v>
      </c>
    </row>
    <row r="30" spans="1:9" x14ac:dyDescent="0.25">
      <c r="A30" t="s">
        <v>172</v>
      </c>
      <c r="B30" s="10">
        <f>'Renewable Electricity'!Q49</f>
        <v>10300</v>
      </c>
      <c r="C30" s="23"/>
      <c r="D30" s="23"/>
      <c r="E30" s="10"/>
      <c r="F30" s="23"/>
      <c r="G30" s="23"/>
      <c r="H30" s="23"/>
    </row>
    <row r="31" spans="1:9" x14ac:dyDescent="0.25">
      <c r="A31" t="s">
        <v>229</v>
      </c>
      <c r="D31" s="23">
        <f>-D29-C29+B30</f>
        <v>416214.06770833331</v>
      </c>
      <c r="E31" s="28" t="s">
        <v>230</v>
      </c>
      <c r="H31" s="25">
        <f>H17+H24+H27</f>
        <v>1639.76</v>
      </c>
      <c r="I31" s="24"/>
    </row>
    <row r="32" spans="1:9" x14ac:dyDescent="0.25">
      <c r="A32" t="s">
        <v>173</v>
      </c>
      <c r="B32" s="10">
        <f>B30+B29</f>
        <v>987005.13170388143</v>
      </c>
      <c r="C32" s="28" t="s">
        <v>202</v>
      </c>
    </row>
  </sheetData>
  <mergeCells count="13">
    <mergeCell ref="A27:E27"/>
    <mergeCell ref="A1:H1"/>
    <mergeCell ref="A2:A3"/>
    <mergeCell ref="B2:B3"/>
    <mergeCell ref="C2:C3"/>
    <mergeCell ref="D2:D3"/>
    <mergeCell ref="F2:H2"/>
    <mergeCell ref="A17:E17"/>
    <mergeCell ref="A19:H19"/>
    <mergeCell ref="A24:E24"/>
    <mergeCell ref="E2:E3"/>
    <mergeCell ref="A15:E15"/>
    <mergeCell ref="A16:E16"/>
  </mergeCells>
  <printOptions gridLines="1"/>
  <pageMargins left="0.7" right="0.7" top="0.75" bottom="0.75" header="0.3" footer="0.3"/>
  <pageSetup scale="8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259D8-5063-46E1-AFA4-28D144499DEF}">
  <sheetPr>
    <pageSetUpPr fitToPage="1"/>
  </sheetPr>
  <dimension ref="A1:S42"/>
  <sheetViews>
    <sheetView zoomScaleNormal="100" workbookViewId="0">
      <selection activeCell="A30" sqref="A30"/>
    </sheetView>
  </sheetViews>
  <sheetFormatPr defaultRowHeight="15" x14ac:dyDescent="0.25"/>
  <cols>
    <col min="14" max="14" width="29" customWidth="1"/>
    <col min="15" max="15" width="12.5703125" customWidth="1"/>
    <col min="18" max="18" width="3.140625" customWidth="1"/>
  </cols>
  <sheetData>
    <row r="1" spans="1:19" ht="18.75" x14ac:dyDescent="0.3">
      <c r="A1" s="248" t="s">
        <v>138</v>
      </c>
      <c r="B1" s="248"/>
      <c r="C1" s="248"/>
      <c r="D1" s="248"/>
      <c r="E1" s="248"/>
      <c r="F1" s="248"/>
      <c r="G1" s="248"/>
      <c r="H1" s="248"/>
      <c r="I1" s="248"/>
      <c r="J1" s="248"/>
      <c r="K1" s="248"/>
      <c r="L1" s="248"/>
    </row>
    <row r="2" spans="1:19" x14ac:dyDescent="0.25">
      <c r="P2" s="264">
        <v>2021</v>
      </c>
      <c r="Q2" s="264"/>
    </row>
    <row r="3" spans="1:19" ht="15.75" x14ac:dyDescent="0.25">
      <c r="N3" s="250" t="s">
        <v>388</v>
      </c>
      <c r="O3" s="250"/>
      <c r="P3" s="4" t="s">
        <v>70</v>
      </c>
      <c r="Q3" s="4" t="s">
        <v>5</v>
      </c>
    </row>
    <row r="4" spans="1:19" x14ac:dyDescent="0.25">
      <c r="N4" t="s">
        <v>72</v>
      </c>
      <c r="P4" s="10">
        <f>'Renewable Electricity'!D10</f>
        <v>184401</v>
      </c>
      <c r="Q4" s="2">
        <f>P4/$P$10</f>
        <v>0.18590579587412351</v>
      </c>
    </row>
    <row r="5" spans="1:19" x14ac:dyDescent="0.25">
      <c r="N5" t="s">
        <v>69</v>
      </c>
      <c r="P5" s="10">
        <f>'Renewable Electricity'!D13</f>
        <v>211051</v>
      </c>
      <c r="Q5" s="2">
        <f t="shared" ref="Q5:Q8" si="0">P5/$P$10</f>
        <v>0.21277327197265547</v>
      </c>
    </row>
    <row r="6" spans="1:19" x14ac:dyDescent="0.25">
      <c r="N6" t="s">
        <v>137</v>
      </c>
      <c r="P6" s="10">
        <f>-'Renewable.Connect 2021'!F35</f>
        <v>350267.16000000003</v>
      </c>
      <c r="Q6" s="2">
        <f t="shared" si="0"/>
        <v>0.35312549903942475</v>
      </c>
    </row>
    <row r="7" spans="1:19" x14ac:dyDescent="0.25">
      <c r="N7" t="s">
        <v>68</v>
      </c>
      <c r="P7" s="10">
        <f>'Renewable.Connect 2021'!I17</f>
        <v>220031.8</v>
      </c>
      <c r="Q7" s="2">
        <f t="shared" si="0"/>
        <v>0.22182735937774722</v>
      </c>
    </row>
    <row r="8" spans="1:19" x14ac:dyDescent="0.25">
      <c r="N8" t="s">
        <v>131</v>
      </c>
      <c r="P8" s="10">
        <f>'Renewable.Connect 2021'!G27+'Renewable.Connect 2021'!G30</f>
        <v>26154.639999999999</v>
      </c>
      <c r="Q8" s="2">
        <f t="shared" si="0"/>
        <v>2.6368073736049075E-2</v>
      </c>
    </row>
    <row r="10" spans="1:19" x14ac:dyDescent="0.25">
      <c r="N10" s="4" t="s">
        <v>71</v>
      </c>
      <c r="O10" s="4"/>
      <c r="P10" s="26">
        <f>SUM(P4:P8)</f>
        <v>991905.6</v>
      </c>
      <c r="Q10" s="11">
        <f>SUM(Q4:Q8)</f>
        <v>1</v>
      </c>
    </row>
    <row r="12" spans="1:19" x14ac:dyDescent="0.25">
      <c r="N12" t="s">
        <v>386</v>
      </c>
      <c r="P12" s="10">
        <f>'Renewable.Connect 2021'!B38</f>
        <v>991906</v>
      </c>
    </row>
    <row r="14" spans="1:19" x14ac:dyDescent="0.25">
      <c r="S14" s="10"/>
    </row>
    <row r="32" spans="16:17" x14ac:dyDescent="0.25">
      <c r="P32" s="264">
        <v>2020</v>
      </c>
      <c r="Q32" s="264"/>
    </row>
    <row r="33" spans="14:17" ht="15.75" x14ac:dyDescent="0.25">
      <c r="N33" s="250" t="s">
        <v>387</v>
      </c>
      <c r="O33" s="250"/>
      <c r="P33" s="4" t="s">
        <v>70</v>
      </c>
      <c r="Q33" s="4" t="s">
        <v>5</v>
      </c>
    </row>
    <row r="34" spans="14:17" x14ac:dyDescent="0.25">
      <c r="N34" t="s">
        <v>72</v>
      </c>
      <c r="P34" s="10">
        <f>'Renewable Electricity'!D30</f>
        <v>179271</v>
      </c>
      <c r="Q34" s="2">
        <f>P34/$P$40</f>
        <v>0.18435495663924034</v>
      </c>
    </row>
    <row r="35" spans="14:17" x14ac:dyDescent="0.25">
      <c r="N35" t="s">
        <v>69</v>
      </c>
      <c r="P35" s="10">
        <f>'Renewable Electricity'!D33</f>
        <v>209100</v>
      </c>
      <c r="Q35" s="2">
        <f t="shared" ref="Q35:Q38" si="1">P35/$P$40</f>
        <v>0.21502987897242248</v>
      </c>
    </row>
    <row r="36" spans="14:17" x14ac:dyDescent="0.25">
      <c r="N36" t="s">
        <v>137</v>
      </c>
      <c r="P36" s="10">
        <f>-'Renewable.Connect 2020'!F34</f>
        <v>319792.96000000002</v>
      </c>
      <c r="Q36" s="2">
        <f t="shared" si="1"/>
        <v>0.32886198701593855</v>
      </c>
    </row>
    <row r="37" spans="14:17" x14ac:dyDescent="0.25">
      <c r="N37" t="s">
        <v>68</v>
      </c>
      <c r="P37" s="10">
        <f>'Renewable.Connect 2020'!H17</f>
        <v>246978.16</v>
      </c>
      <c r="Q37" s="2">
        <f t="shared" si="1"/>
        <v>0.25398222789876423</v>
      </c>
    </row>
    <row r="38" spans="14:17" x14ac:dyDescent="0.25">
      <c r="N38" t="s">
        <v>131</v>
      </c>
      <c r="P38" s="10">
        <f>'Renewable.Connect 2020'!G26+'Renewable.Connect 2020'!G29</f>
        <v>17280.879999999997</v>
      </c>
      <c r="Q38" s="2">
        <f t="shared" si="1"/>
        <v>1.7770949473634414E-2</v>
      </c>
    </row>
    <row r="39" spans="14:17" x14ac:dyDescent="0.25">
      <c r="O39" s="4"/>
    </row>
    <row r="40" spans="14:17" x14ac:dyDescent="0.25">
      <c r="N40" s="4" t="s">
        <v>71</v>
      </c>
      <c r="P40" s="26">
        <f>SUM(P34:P38)</f>
        <v>972423</v>
      </c>
      <c r="Q40" s="11">
        <f>SUM(Q34:Q38)</f>
        <v>1</v>
      </c>
    </row>
    <row r="42" spans="14:17" x14ac:dyDescent="0.25">
      <c r="N42" t="s">
        <v>386</v>
      </c>
      <c r="P42" s="10">
        <f>'Renewable.Connect 2020'!B37</f>
        <v>972423</v>
      </c>
    </row>
  </sheetData>
  <mergeCells count="5">
    <mergeCell ref="N33:O33"/>
    <mergeCell ref="A1:L1"/>
    <mergeCell ref="N3:O3"/>
    <mergeCell ref="P2:Q2"/>
    <mergeCell ref="P32:Q32"/>
  </mergeCells>
  <printOptions gridLines="1"/>
  <pageMargins left="0.7" right="0.7" top="0.75" bottom="0.75" header="0.3" footer="0.3"/>
  <pageSetup scale="70" fitToHeight="0" orientation="landscape" horizontalDpi="300" verticalDpi="300" r:id="rId1"/>
  <rowBreaks count="1" manualBreakCount="1">
    <brk id="29"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E1F4C-B54B-41CC-9C8F-474E344713C7}">
  <sheetPr>
    <pageSetUpPr fitToPage="1"/>
  </sheetPr>
  <dimension ref="A1:A12"/>
  <sheetViews>
    <sheetView workbookViewId="0"/>
  </sheetViews>
  <sheetFormatPr defaultRowHeight="15" x14ac:dyDescent="0.25"/>
  <cols>
    <col min="1" max="1" width="186.42578125" customWidth="1"/>
  </cols>
  <sheetData>
    <row r="1" spans="1:1" x14ac:dyDescent="0.25">
      <c r="A1" t="s">
        <v>115</v>
      </c>
    </row>
    <row r="2" spans="1:1" x14ac:dyDescent="0.25">
      <c r="A2" t="s">
        <v>246</v>
      </c>
    </row>
    <row r="3" spans="1:1" x14ac:dyDescent="0.25">
      <c r="A3" t="s">
        <v>112</v>
      </c>
    </row>
    <row r="4" spans="1:1" x14ac:dyDescent="0.25">
      <c r="A4" t="s">
        <v>113</v>
      </c>
    </row>
    <row r="5" spans="1:1" x14ac:dyDescent="0.25">
      <c r="A5" t="s">
        <v>116</v>
      </c>
    </row>
    <row r="6" spans="1:1" x14ac:dyDescent="0.25">
      <c r="A6" t="s">
        <v>164</v>
      </c>
    </row>
    <row r="7" spans="1:1" x14ac:dyDescent="0.25">
      <c r="A7" t="s">
        <v>117</v>
      </c>
    </row>
    <row r="8" spans="1:1" x14ac:dyDescent="0.25">
      <c r="A8" t="s">
        <v>165</v>
      </c>
    </row>
    <row r="9" spans="1:1" x14ac:dyDescent="0.25">
      <c r="A9" t="s">
        <v>114</v>
      </c>
    </row>
    <row r="10" spans="1:1" x14ac:dyDescent="0.25">
      <c r="A10" t="s">
        <v>245</v>
      </c>
    </row>
    <row r="11" spans="1:1" x14ac:dyDescent="0.25">
      <c r="A11" t="s">
        <v>157</v>
      </c>
    </row>
    <row r="12" spans="1:1" x14ac:dyDescent="0.25">
      <c r="A12" t="s">
        <v>166</v>
      </c>
    </row>
  </sheetData>
  <pageMargins left="0.7" right="0.7" top="0.75" bottom="0.75" header="0.3" footer="0.3"/>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BE74C-5407-4B25-98B3-2A2B2D64DE21}">
  <sheetPr>
    <pageSetUpPr fitToPage="1"/>
  </sheetPr>
  <dimension ref="A1:S30"/>
  <sheetViews>
    <sheetView zoomScaleNormal="100" workbookViewId="0">
      <selection activeCell="C21" sqref="C21"/>
    </sheetView>
  </sheetViews>
  <sheetFormatPr defaultRowHeight="15" x14ac:dyDescent="0.25"/>
  <cols>
    <col min="1" max="1" width="30.140625" customWidth="1"/>
    <col min="2" max="2" width="34.140625" customWidth="1"/>
    <col min="3" max="3" width="8.7109375" customWidth="1"/>
    <col min="4" max="4" width="9.42578125" customWidth="1"/>
    <col min="5" max="6" width="9.140625" customWidth="1"/>
    <col min="10" max="10" width="10.28515625" customWidth="1"/>
    <col min="11" max="11" width="10.7109375" customWidth="1"/>
    <col min="12" max="12" width="10.28515625" customWidth="1"/>
    <col min="13" max="13" width="11.28515625" bestFit="1" customWidth="1"/>
    <col min="14" max="14" width="12.5703125" customWidth="1"/>
    <col min="15" max="15" width="12.28515625" customWidth="1"/>
    <col min="16" max="16" width="12.85546875" customWidth="1"/>
  </cols>
  <sheetData>
    <row r="1" spans="1:19" ht="18.75" x14ac:dyDescent="0.3">
      <c r="A1" s="248" t="s">
        <v>156</v>
      </c>
      <c r="B1" s="248"/>
      <c r="C1" s="248"/>
      <c r="D1" s="248"/>
      <c r="E1" s="248"/>
      <c r="F1" s="248"/>
      <c r="G1" s="248"/>
      <c r="H1" s="248"/>
      <c r="I1" s="248"/>
      <c r="K1" s="248" t="s">
        <v>247</v>
      </c>
      <c r="L1" s="248"/>
      <c r="M1" s="248"/>
      <c r="N1" s="248"/>
      <c r="O1" s="248"/>
      <c r="P1" s="248"/>
      <c r="Q1" s="248"/>
      <c r="R1" s="248"/>
      <c r="S1" s="248"/>
    </row>
    <row r="2" spans="1:19" ht="60" x14ac:dyDescent="0.25">
      <c r="A2" t="s">
        <v>7</v>
      </c>
      <c r="B2" t="s">
        <v>8</v>
      </c>
      <c r="C2" s="107" t="s">
        <v>309</v>
      </c>
      <c r="D2" s="107" t="s">
        <v>310</v>
      </c>
      <c r="E2" s="107" t="s">
        <v>163</v>
      </c>
      <c r="F2" s="107" t="s">
        <v>148</v>
      </c>
      <c r="G2" s="3" t="s">
        <v>162</v>
      </c>
      <c r="H2" s="3" t="s">
        <v>39</v>
      </c>
      <c r="I2" s="108" t="s">
        <v>10</v>
      </c>
      <c r="J2" s="107" t="s">
        <v>43</v>
      </c>
      <c r="K2" t="s">
        <v>9</v>
      </c>
      <c r="L2" s="3" t="s">
        <v>45</v>
      </c>
      <c r="M2" s="107" t="s">
        <v>40</v>
      </c>
      <c r="N2" s="3" t="s">
        <v>15</v>
      </c>
      <c r="O2" s="6" t="s">
        <v>16</v>
      </c>
      <c r="P2" s="6" t="s">
        <v>54</v>
      </c>
      <c r="Q2" s="6" t="s">
        <v>59</v>
      </c>
      <c r="R2" s="3" t="s">
        <v>33</v>
      </c>
    </row>
    <row r="3" spans="1:19" ht="17.45" customHeight="1" x14ac:dyDescent="0.25">
      <c r="A3" t="s">
        <v>37</v>
      </c>
      <c r="B3" t="s">
        <v>51</v>
      </c>
      <c r="C3" s="22">
        <v>19917</v>
      </c>
      <c r="D3" s="230">
        <v>2634</v>
      </c>
      <c r="E3" s="116">
        <v>15593</v>
      </c>
      <c r="F3" s="117">
        <v>1995</v>
      </c>
      <c r="G3" s="10">
        <v>15431</v>
      </c>
      <c r="H3" s="13">
        <v>1992</v>
      </c>
      <c r="I3" s="116">
        <v>11008</v>
      </c>
      <c r="J3" s="123">
        <v>1492</v>
      </c>
      <c r="K3" s="10">
        <v>12002</v>
      </c>
      <c r="L3" s="13">
        <v>1627</v>
      </c>
      <c r="M3" s="125">
        <f t="shared" ref="M3:M10" si="0">H3/G3</f>
        <v>0.12909079126433803</v>
      </c>
      <c r="N3" s="3" t="s">
        <v>38</v>
      </c>
      <c r="O3" s="6">
        <v>64330371</v>
      </c>
      <c r="P3" s="1">
        <v>302338390</v>
      </c>
      <c r="Q3" s="1" t="s">
        <v>60</v>
      </c>
    </row>
    <row r="4" spans="1:19" ht="16.899999999999999" customHeight="1" x14ac:dyDescent="0.25">
      <c r="A4" s="7" t="s">
        <v>19</v>
      </c>
      <c r="B4" s="7" t="s">
        <v>20</v>
      </c>
      <c r="C4" s="7">
        <v>2989</v>
      </c>
      <c r="D4" s="114">
        <v>458.83</v>
      </c>
      <c r="E4" s="118">
        <v>2141</v>
      </c>
      <c r="F4" s="119">
        <v>451</v>
      </c>
      <c r="G4" s="10">
        <v>2112</v>
      </c>
      <c r="H4" s="13">
        <v>450</v>
      </c>
      <c r="I4" s="116">
        <v>2700</v>
      </c>
      <c r="J4" s="123">
        <v>493</v>
      </c>
      <c r="K4" s="10">
        <v>1475</v>
      </c>
      <c r="L4" s="13">
        <v>349</v>
      </c>
      <c r="M4" s="125">
        <f t="shared" si="0"/>
        <v>0.21306818181818182</v>
      </c>
      <c r="N4" s="3" t="s">
        <v>38</v>
      </c>
      <c r="O4">
        <v>63093703</v>
      </c>
      <c r="P4" s="1">
        <v>303195691</v>
      </c>
      <c r="Q4" s="1" t="s">
        <v>60</v>
      </c>
      <c r="R4" t="s">
        <v>64</v>
      </c>
    </row>
    <row r="5" spans="1:19" x14ac:dyDescent="0.25">
      <c r="A5" t="s">
        <v>48</v>
      </c>
      <c r="B5" t="s">
        <v>50</v>
      </c>
      <c r="C5" s="112">
        <v>284640</v>
      </c>
      <c r="D5" s="114">
        <v>18398</v>
      </c>
      <c r="E5" s="116">
        <v>285600</v>
      </c>
      <c r="F5" s="119">
        <v>16711</v>
      </c>
      <c r="G5" s="10">
        <v>299680</v>
      </c>
      <c r="H5" s="13">
        <v>18676</v>
      </c>
      <c r="I5" s="116">
        <v>298400</v>
      </c>
      <c r="J5" s="123">
        <v>24125</v>
      </c>
      <c r="K5" s="10">
        <v>300000</v>
      </c>
      <c r="L5" s="13">
        <v>32360</v>
      </c>
      <c r="M5" s="125">
        <f t="shared" si="0"/>
        <v>6.2319807794981315E-2</v>
      </c>
      <c r="N5" s="3" t="s">
        <v>42</v>
      </c>
      <c r="O5">
        <v>2655833</v>
      </c>
      <c r="P5" s="1">
        <v>302580064</v>
      </c>
      <c r="Q5" s="1" t="s">
        <v>60</v>
      </c>
      <c r="R5" t="s">
        <v>103</v>
      </c>
    </row>
    <row r="6" spans="1:19" x14ac:dyDescent="0.25">
      <c r="A6" t="s">
        <v>47</v>
      </c>
      <c r="B6" t="s">
        <v>49</v>
      </c>
      <c r="C6" s="112">
        <v>19636</v>
      </c>
      <c r="D6" s="114">
        <v>4054</v>
      </c>
      <c r="E6" s="120">
        <v>128</v>
      </c>
      <c r="F6" s="119">
        <v>464</v>
      </c>
      <c r="G6" s="10">
        <v>183</v>
      </c>
      <c r="H6" s="13">
        <v>458</v>
      </c>
      <c r="I6" s="116">
        <v>80</v>
      </c>
      <c r="J6" s="123">
        <v>443</v>
      </c>
      <c r="K6" s="10">
        <v>66</v>
      </c>
      <c r="L6" s="13">
        <v>435</v>
      </c>
      <c r="M6" s="125">
        <f t="shared" si="0"/>
        <v>2.5027322404371586</v>
      </c>
      <c r="N6" s="3" t="s">
        <v>87</v>
      </c>
      <c r="O6">
        <v>1720712</v>
      </c>
      <c r="P6" s="1">
        <v>303189626</v>
      </c>
      <c r="Q6" s="1" t="s">
        <v>85</v>
      </c>
      <c r="R6" t="s">
        <v>86</v>
      </c>
    </row>
    <row r="7" spans="1:19" x14ac:dyDescent="0.25">
      <c r="A7" s="7" t="s">
        <v>18</v>
      </c>
      <c r="B7" s="7" t="s">
        <v>52</v>
      </c>
      <c r="C7" s="7">
        <v>2901</v>
      </c>
      <c r="D7" s="114">
        <v>589</v>
      </c>
      <c r="E7" s="118">
        <v>3107</v>
      </c>
      <c r="F7" s="119">
        <v>799</v>
      </c>
      <c r="G7" s="10">
        <v>11002</v>
      </c>
      <c r="H7" s="13">
        <v>1522</v>
      </c>
      <c r="I7" s="116">
        <v>12420</v>
      </c>
      <c r="J7" s="123">
        <v>1698</v>
      </c>
      <c r="K7" s="10">
        <v>9957</v>
      </c>
      <c r="L7" s="13">
        <v>1437</v>
      </c>
      <c r="M7" s="125">
        <f t="shared" si="0"/>
        <v>0.138338483912016</v>
      </c>
      <c r="N7" s="3" t="s">
        <v>38</v>
      </c>
      <c r="O7">
        <v>143866319</v>
      </c>
      <c r="P7" s="1">
        <v>304431259</v>
      </c>
      <c r="Q7" s="1" t="s">
        <v>60</v>
      </c>
      <c r="R7" t="s">
        <v>104</v>
      </c>
    </row>
    <row r="8" spans="1:19" x14ac:dyDescent="0.25">
      <c r="A8" t="s">
        <v>17</v>
      </c>
      <c r="B8" t="s">
        <v>53</v>
      </c>
      <c r="C8" s="10">
        <v>26840</v>
      </c>
      <c r="D8" s="114">
        <v>3081</v>
      </c>
      <c r="E8" s="116">
        <v>17320</v>
      </c>
      <c r="F8" s="119">
        <v>4324</v>
      </c>
      <c r="G8" s="10">
        <v>56880</v>
      </c>
      <c r="H8" s="13">
        <v>7661</v>
      </c>
      <c r="I8" s="116">
        <v>60400</v>
      </c>
      <c r="J8" s="123">
        <v>7550</v>
      </c>
      <c r="K8" s="10">
        <v>54240</v>
      </c>
      <c r="L8" s="13">
        <v>7563</v>
      </c>
      <c r="M8" s="125">
        <f t="shared" si="0"/>
        <v>0.13468706047819973</v>
      </c>
      <c r="N8" s="3" t="s">
        <v>42</v>
      </c>
      <c r="O8">
        <v>2708354</v>
      </c>
      <c r="P8" s="1">
        <v>303917428</v>
      </c>
      <c r="Q8" s="1" t="s">
        <v>60</v>
      </c>
    </row>
    <row r="9" spans="1:19" x14ac:dyDescent="0.25">
      <c r="A9" t="s">
        <v>321</v>
      </c>
      <c r="B9" t="s">
        <v>53</v>
      </c>
      <c r="C9">
        <v>2581</v>
      </c>
      <c r="D9" s="114">
        <v>518.23</v>
      </c>
      <c r="E9" s="108">
        <v>6855</v>
      </c>
      <c r="F9" s="119">
        <v>976</v>
      </c>
      <c r="G9" s="10">
        <v>1789</v>
      </c>
      <c r="H9" s="13">
        <v>424.89</v>
      </c>
      <c r="I9" s="116">
        <v>3205</v>
      </c>
      <c r="J9" s="123">
        <v>566</v>
      </c>
      <c r="K9" s="10">
        <v>2917</v>
      </c>
      <c r="L9" s="13">
        <v>525</v>
      </c>
      <c r="M9" s="125">
        <f t="shared" si="0"/>
        <v>0.23750139742873114</v>
      </c>
      <c r="N9" s="3" t="s">
        <v>38</v>
      </c>
      <c r="O9">
        <v>63855215</v>
      </c>
      <c r="P9" s="1">
        <v>303197394</v>
      </c>
      <c r="Q9" s="1" t="s">
        <v>60</v>
      </c>
    </row>
    <row r="10" spans="1:19" x14ac:dyDescent="0.25">
      <c r="A10" t="s">
        <v>56</v>
      </c>
      <c r="B10" t="s">
        <v>26</v>
      </c>
      <c r="C10">
        <v>7190</v>
      </c>
      <c r="D10" s="114">
        <v>932.39</v>
      </c>
      <c r="E10" s="108">
        <v>6801</v>
      </c>
      <c r="F10" s="119">
        <v>976</v>
      </c>
      <c r="G10" s="10">
        <v>5527</v>
      </c>
      <c r="H10" s="13">
        <v>841</v>
      </c>
      <c r="I10" s="116">
        <v>3792</v>
      </c>
      <c r="J10" s="123">
        <v>626</v>
      </c>
      <c r="K10" s="10">
        <v>3710</v>
      </c>
      <c r="L10" s="13">
        <v>616</v>
      </c>
      <c r="M10" s="125">
        <f t="shared" si="0"/>
        <v>0.15216211326216755</v>
      </c>
      <c r="N10" s="3" t="s">
        <v>38</v>
      </c>
      <c r="O10">
        <v>115258007</v>
      </c>
      <c r="P10" s="1">
        <v>304462005</v>
      </c>
      <c r="Q10" s="1" t="s">
        <v>60</v>
      </c>
      <c r="R10" t="s">
        <v>63</v>
      </c>
    </row>
    <row r="11" spans="1:19" ht="18" customHeight="1" x14ac:dyDescent="0.25">
      <c r="A11" s="7" t="s">
        <v>244</v>
      </c>
      <c r="B11" s="7" t="s">
        <v>26</v>
      </c>
      <c r="C11" s="7">
        <v>2298</v>
      </c>
      <c r="D11" s="114">
        <v>535.58000000000004</v>
      </c>
      <c r="E11" s="118">
        <v>943</v>
      </c>
      <c r="F11" s="119">
        <v>420</v>
      </c>
      <c r="G11" s="22">
        <v>2070</v>
      </c>
      <c r="H11" s="13">
        <v>458</v>
      </c>
      <c r="I11" s="124">
        <v>4089</v>
      </c>
      <c r="J11" s="123">
        <v>795</v>
      </c>
      <c r="K11" s="10">
        <v>5833</v>
      </c>
      <c r="L11" s="13">
        <v>870</v>
      </c>
      <c r="M11" s="125" t="s">
        <v>88</v>
      </c>
      <c r="N11" s="3" t="s">
        <v>38</v>
      </c>
      <c r="O11">
        <v>143866334</v>
      </c>
      <c r="P11" s="1">
        <v>302933807</v>
      </c>
      <c r="Q11" s="1" t="s">
        <v>60</v>
      </c>
      <c r="R11" t="s">
        <v>62</v>
      </c>
    </row>
    <row r="12" spans="1:19" x14ac:dyDescent="0.25">
      <c r="A12" s="7" t="s">
        <v>23</v>
      </c>
      <c r="B12" s="7" t="s">
        <v>24</v>
      </c>
      <c r="C12" s="7">
        <v>8915</v>
      </c>
      <c r="D12" s="114">
        <v>1187</v>
      </c>
      <c r="E12" s="121">
        <v>14196</v>
      </c>
      <c r="F12" s="119">
        <v>2185</v>
      </c>
      <c r="G12" s="10">
        <f>(H12-132)/0.1198</f>
        <v>13038.397328881469</v>
      </c>
      <c r="H12" s="13">
        <v>1694</v>
      </c>
      <c r="I12" s="116">
        <f>(J12-132)/0.1198</f>
        <v>14006.677796327212</v>
      </c>
      <c r="J12" s="123">
        <v>1810</v>
      </c>
      <c r="K12" s="10">
        <f>(L12-132)/0.1198</f>
        <v>11560.934891485809</v>
      </c>
      <c r="L12" s="13">
        <v>1517</v>
      </c>
      <c r="M12" s="125">
        <f>H12/G12</f>
        <v>0.12992394366197182</v>
      </c>
      <c r="N12" s="3" t="s">
        <v>91</v>
      </c>
      <c r="P12" s="1">
        <v>303486359</v>
      </c>
      <c r="Q12" s="1" t="s">
        <v>89</v>
      </c>
      <c r="R12" t="s">
        <v>90</v>
      </c>
    </row>
    <row r="13" spans="1:19" x14ac:dyDescent="0.25">
      <c r="A13" s="7" t="s">
        <v>57</v>
      </c>
      <c r="B13" s="7" t="s">
        <v>58</v>
      </c>
      <c r="C13" s="161">
        <v>402160</v>
      </c>
      <c r="D13" s="114">
        <v>31902</v>
      </c>
      <c r="E13" s="118">
        <v>404720</v>
      </c>
      <c r="F13" s="119">
        <v>29353</v>
      </c>
      <c r="G13" s="10">
        <v>549840</v>
      </c>
      <c r="H13" s="13">
        <v>37526</v>
      </c>
      <c r="I13" s="116">
        <v>562000</v>
      </c>
      <c r="J13" s="123">
        <v>43941</v>
      </c>
      <c r="K13" s="10">
        <v>557280</v>
      </c>
      <c r="L13" s="13">
        <v>47985</v>
      </c>
      <c r="M13" s="125">
        <f>H13/G13</f>
        <v>6.8248945147679319E-2</v>
      </c>
      <c r="N13" s="3" t="s">
        <v>42</v>
      </c>
      <c r="O13">
        <v>19636853</v>
      </c>
      <c r="P13" s="1">
        <v>303744240</v>
      </c>
      <c r="Q13" s="1" t="s">
        <v>60</v>
      </c>
      <c r="R13" t="s">
        <v>44</v>
      </c>
    </row>
    <row r="14" spans="1:19" ht="18" customHeight="1" x14ac:dyDescent="0.25">
      <c r="A14" s="7" t="s">
        <v>21</v>
      </c>
      <c r="B14" s="7" t="s">
        <v>22</v>
      </c>
      <c r="C14" s="7">
        <v>5529</v>
      </c>
      <c r="D14" s="114">
        <v>753</v>
      </c>
      <c r="E14" s="118">
        <v>5218</v>
      </c>
      <c r="F14" s="119">
        <v>798</v>
      </c>
      <c r="G14" s="10">
        <v>5895</v>
      </c>
      <c r="H14" s="13">
        <v>879</v>
      </c>
      <c r="I14" s="116">
        <v>5118</v>
      </c>
      <c r="J14" s="123">
        <v>781</v>
      </c>
      <c r="K14" s="10">
        <v>4449</v>
      </c>
      <c r="L14" s="13">
        <v>704</v>
      </c>
      <c r="M14" s="125">
        <f>H14/G14</f>
        <v>0.14910941475826972</v>
      </c>
      <c r="N14" s="3" t="s">
        <v>38</v>
      </c>
      <c r="O14">
        <v>63096781</v>
      </c>
      <c r="P14" s="1">
        <v>303402426</v>
      </c>
      <c r="Q14" s="1" t="s">
        <v>60</v>
      </c>
    </row>
    <row r="15" spans="1:19" x14ac:dyDescent="0.25">
      <c r="A15" t="s">
        <v>84</v>
      </c>
      <c r="B15" s="7" t="s">
        <v>350</v>
      </c>
      <c r="C15" s="7">
        <v>5803</v>
      </c>
      <c r="D15" s="114">
        <v>1363</v>
      </c>
      <c r="E15" s="122">
        <v>8414</v>
      </c>
      <c r="F15" s="119">
        <v>1642</v>
      </c>
      <c r="G15" s="22">
        <v>8669</v>
      </c>
      <c r="H15" s="13">
        <v>1676</v>
      </c>
      <c r="I15" s="116">
        <v>7035</v>
      </c>
      <c r="J15" s="123">
        <v>1454</v>
      </c>
      <c r="K15" s="10">
        <v>6582</v>
      </c>
      <c r="L15" s="13">
        <v>1380</v>
      </c>
      <c r="M15" s="125">
        <f>H15/G15</f>
        <v>0.19333256430960896</v>
      </c>
      <c r="N15" s="3" t="s">
        <v>353</v>
      </c>
      <c r="O15">
        <v>1721017</v>
      </c>
      <c r="P15" s="156">
        <v>709223000</v>
      </c>
      <c r="Q15" s="1" t="s">
        <v>61</v>
      </c>
      <c r="R15" t="s">
        <v>83</v>
      </c>
    </row>
    <row r="16" spans="1:19" x14ac:dyDescent="0.25">
      <c r="A16" s="7" t="s">
        <v>352</v>
      </c>
      <c r="B16" s="7" t="s">
        <v>351</v>
      </c>
      <c r="C16" s="7">
        <v>60</v>
      </c>
      <c r="D16" s="114">
        <v>461</v>
      </c>
      <c r="E16" s="122"/>
      <c r="F16" s="119"/>
      <c r="G16" s="22"/>
      <c r="H16" s="13"/>
      <c r="I16" s="116"/>
      <c r="J16" s="123"/>
      <c r="K16" s="10"/>
      <c r="L16" s="13"/>
      <c r="M16" s="125"/>
      <c r="N16" s="3" t="s">
        <v>353</v>
      </c>
      <c r="O16">
        <v>1720712</v>
      </c>
      <c r="P16" s="156">
        <v>609060000</v>
      </c>
      <c r="Q16" s="1" t="s">
        <v>61</v>
      </c>
    </row>
    <row r="17" spans="1:17" x14ac:dyDescent="0.25">
      <c r="A17" s="7" t="s">
        <v>194</v>
      </c>
      <c r="B17" s="236" t="s">
        <v>391</v>
      </c>
      <c r="C17" s="231">
        <v>692</v>
      </c>
      <c r="D17" s="230">
        <v>292</v>
      </c>
      <c r="E17" s="118">
        <v>1060</v>
      </c>
      <c r="F17" s="119">
        <v>329</v>
      </c>
      <c r="G17" s="19"/>
      <c r="H17" s="13"/>
      <c r="I17" s="116"/>
      <c r="J17" s="123"/>
      <c r="K17" s="10"/>
      <c r="L17" s="13"/>
      <c r="M17" s="125"/>
      <c r="N17" s="3"/>
      <c r="P17" s="237">
        <v>302437905</v>
      </c>
      <c r="Q17" s="1"/>
    </row>
    <row r="18" spans="1:17" x14ac:dyDescent="0.25">
      <c r="A18" s="7" t="s">
        <v>195</v>
      </c>
      <c r="B18" s="236" t="s">
        <v>392</v>
      </c>
      <c r="C18" s="232">
        <v>12669</v>
      </c>
      <c r="D18" s="230">
        <v>1725</v>
      </c>
      <c r="E18" s="118">
        <v>9759</v>
      </c>
      <c r="F18" s="119">
        <v>1323</v>
      </c>
      <c r="G18" s="19"/>
      <c r="H18" s="13"/>
      <c r="I18" s="116"/>
      <c r="J18" s="123"/>
      <c r="K18" s="10"/>
      <c r="L18" s="13"/>
      <c r="M18" s="125"/>
      <c r="N18" s="3"/>
      <c r="P18" s="237">
        <v>304656641</v>
      </c>
      <c r="Q18" s="1"/>
    </row>
    <row r="19" spans="1:17" ht="16.5" customHeight="1" x14ac:dyDescent="0.25">
      <c r="A19" s="7" t="s">
        <v>260</v>
      </c>
      <c r="B19" t="s">
        <v>261</v>
      </c>
      <c r="C19">
        <v>5507</v>
      </c>
      <c r="D19" s="114">
        <v>849</v>
      </c>
      <c r="E19" s="118">
        <v>6047</v>
      </c>
      <c r="F19" s="119">
        <v>898</v>
      </c>
      <c r="G19" s="19"/>
      <c r="H19" s="13"/>
      <c r="I19" s="116"/>
      <c r="J19" s="123"/>
      <c r="K19" s="10"/>
      <c r="L19" s="13"/>
      <c r="M19" s="125"/>
      <c r="N19" s="3"/>
      <c r="P19" s="1"/>
      <c r="Q19" s="1"/>
    </row>
    <row r="20" spans="1:17" x14ac:dyDescent="0.25">
      <c r="A20" s="7"/>
      <c r="B20" s="7"/>
      <c r="C20" s="7"/>
      <c r="D20" s="114"/>
      <c r="E20" s="118"/>
      <c r="F20" s="119"/>
      <c r="G20" s="10"/>
      <c r="H20" s="13"/>
      <c r="I20" s="116"/>
      <c r="J20" s="123"/>
      <c r="K20" s="10"/>
      <c r="L20" s="13"/>
      <c r="M20" s="125"/>
      <c r="N20" s="3"/>
      <c r="P20" s="1"/>
      <c r="Q20" s="1"/>
    </row>
    <row r="21" spans="1:17" x14ac:dyDescent="0.25">
      <c r="A21" s="249" t="s">
        <v>158</v>
      </c>
      <c r="B21" s="249"/>
      <c r="C21" s="10">
        <f>'Renewable Electricity'!D14</f>
        <v>181579</v>
      </c>
      <c r="D21" s="114"/>
      <c r="E21" s="121">
        <f>'Renewable Electricity'!D34</f>
        <v>184521</v>
      </c>
      <c r="F21" s="119"/>
      <c r="G21" s="10">
        <f>'Renewable Electricity'!Q51</f>
        <v>14888.734375</v>
      </c>
      <c r="H21" s="13"/>
      <c r="I21" s="116">
        <f>'Renewable Electricity'!F52</f>
        <v>5180</v>
      </c>
      <c r="J21" s="123"/>
      <c r="K21" s="10">
        <f>'Renewable Electricity'!G52</f>
        <v>3730</v>
      </c>
      <c r="L21" s="13"/>
      <c r="M21" s="125"/>
      <c r="N21" s="3"/>
      <c r="P21" s="1"/>
      <c r="Q21" s="1"/>
    </row>
    <row r="22" spans="1:17" ht="15" customHeight="1" x14ac:dyDescent="0.25">
      <c r="A22" s="7" t="s">
        <v>368</v>
      </c>
      <c r="B22" s="7"/>
      <c r="C22" s="7"/>
      <c r="D22" s="114">
        <f>-'Renewable Electricity'!H15</f>
        <v>-707</v>
      </c>
      <c r="E22" s="118"/>
      <c r="F22" s="119"/>
      <c r="G22" s="10"/>
      <c r="H22" s="13"/>
      <c r="I22" s="10"/>
      <c r="J22" s="13"/>
      <c r="K22" s="10"/>
      <c r="L22" s="13"/>
      <c r="M22" s="125"/>
      <c r="N22" s="3"/>
      <c r="P22" s="1"/>
      <c r="Q22" s="1"/>
    </row>
    <row r="23" spans="1:17" x14ac:dyDescent="0.25">
      <c r="A23" t="s">
        <v>203</v>
      </c>
      <c r="C23" s="116">
        <f>SUM(C3:C21)</f>
        <v>991906</v>
      </c>
      <c r="D23" s="222">
        <f>SUM(D3:D22)</f>
        <v>69026.03</v>
      </c>
      <c r="E23" s="116">
        <f>SUM(E3:E21)</f>
        <v>972423</v>
      </c>
      <c r="F23" s="119">
        <f>SUM(F3:F19)</f>
        <v>63644</v>
      </c>
      <c r="G23" s="10">
        <f>SUM(G3:G21)</f>
        <v>987005.13170388155</v>
      </c>
      <c r="H23" s="13">
        <f>SUM(H3:H15)</f>
        <v>74257.89</v>
      </c>
      <c r="I23" s="10">
        <f>SUM(I3:I21)</f>
        <v>989433.67779632728</v>
      </c>
      <c r="J23" s="13">
        <f>SUM(J3:J15)</f>
        <v>85774</v>
      </c>
      <c r="K23" s="10">
        <f>SUM(K3:K21)</f>
        <v>973801.93489148584</v>
      </c>
      <c r="L23" s="13">
        <f>SUM(L3:L15)</f>
        <v>97368</v>
      </c>
      <c r="M23" s="125">
        <f>H23/G23</f>
        <v>7.5235566274926557E-2</v>
      </c>
      <c r="P23" s="1"/>
      <c r="Q23" s="1"/>
    </row>
    <row r="24" spans="1:17" x14ac:dyDescent="0.25">
      <c r="E24" s="10"/>
      <c r="F24" s="10"/>
      <c r="G24" s="10"/>
      <c r="H24" s="10"/>
      <c r="I24" s="10"/>
      <c r="J24" s="13"/>
      <c r="K24" s="14"/>
      <c r="N24" s="1"/>
      <c r="O24" s="1"/>
    </row>
    <row r="25" spans="1:17" ht="15.6" customHeight="1" x14ac:dyDescent="0.25">
      <c r="A25" s="249" t="s">
        <v>371</v>
      </c>
      <c r="B25" s="249"/>
      <c r="C25" s="249"/>
      <c r="D25" s="249"/>
      <c r="E25" s="249"/>
      <c r="F25" s="249"/>
      <c r="G25" s="249"/>
      <c r="H25" s="249"/>
      <c r="I25" s="249"/>
      <c r="J25" s="249"/>
      <c r="K25" s="249"/>
      <c r="N25" s="1"/>
      <c r="O25" s="1"/>
    </row>
    <row r="26" spans="1:17" ht="15.6" customHeight="1" x14ac:dyDescent="0.25">
      <c r="A26" s="226"/>
      <c r="B26" s="199"/>
      <c r="C26" s="199"/>
      <c r="D26" s="199"/>
      <c r="E26" s="199"/>
      <c r="F26" s="199"/>
      <c r="G26" s="199"/>
      <c r="H26" s="199"/>
      <c r="I26" s="199"/>
      <c r="J26" s="199"/>
      <c r="K26" s="199"/>
      <c r="N26" s="1"/>
      <c r="O26" s="1"/>
    </row>
    <row r="27" spans="1:17" x14ac:dyDescent="0.25">
      <c r="A27" s="63"/>
      <c r="B27" s="63"/>
      <c r="K27" s="247" t="s">
        <v>248</v>
      </c>
      <c r="L27" s="247"/>
      <c r="M27" s="247"/>
      <c r="N27" s="247"/>
      <c r="O27" s="247"/>
    </row>
    <row r="28" spans="1:17" ht="60" x14ac:dyDescent="0.25">
      <c r="A28" t="s">
        <v>243</v>
      </c>
      <c r="C28" s="166" t="s">
        <v>309</v>
      </c>
      <c r="D28" s="166" t="s">
        <v>310</v>
      </c>
      <c r="E28" s="107" t="s">
        <v>163</v>
      </c>
      <c r="F28" s="107" t="s">
        <v>148</v>
      </c>
      <c r="G28" s="3" t="s">
        <v>162</v>
      </c>
      <c r="H28" s="3" t="s">
        <v>39</v>
      </c>
      <c r="I28" s="108" t="s">
        <v>10</v>
      </c>
      <c r="J28" s="107" t="s">
        <v>43</v>
      </c>
      <c r="K28" t="s">
        <v>9</v>
      </c>
      <c r="L28" s="3" t="s">
        <v>45</v>
      </c>
      <c r="M28" s="3" t="s">
        <v>343</v>
      </c>
      <c r="N28" s="3" t="s">
        <v>193</v>
      </c>
    </row>
    <row r="29" spans="1:17" x14ac:dyDescent="0.25">
      <c r="A29" s="7" t="s">
        <v>57</v>
      </c>
      <c r="B29" s="7" t="s">
        <v>58</v>
      </c>
      <c r="C29" s="161">
        <f>C13</f>
        <v>402160</v>
      </c>
      <c r="D29" s="170">
        <f>D13</f>
        <v>31902</v>
      </c>
      <c r="E29" s="116">
        <f>E13</f>
        <v>404720</v>
      </c>
      <c r="F29" s="126">
        <f>F13</f>
        <v>29353</v>
      </c>
      <c r="G29" s="10">
        <v>549840</v>
      </c>
      <c r="H29" s="13">
        <v>40768.97</v>
      </c>
      <c r="I29" s="116">
        <v>562000</v>
      </c>
      <c r="J29" s="123">
        <v>43941</v>
      </c>
      <c r="K29" s="10">
        <v>557280</v>
      </c>
      <c r="L29" s="13">
        <v>47985</v>
      </c>
      <c r="M29" s="62">
        <f>1-D29/L29</f>
        <v>0.33516723976242579</v>
      </c>
      <c r="N29" s="2">
        <f>1-F29/L29</f>
        <v>0.38828800666875063</v>
      </c>
      <c r="O29" t="s">
        <v>57</v>
      </c>
    </row>
    <row r="30" spans="1:17" x14ac:dyDescent="0.25">
      <c r="A30" t="s">
        <v>48</v>
      </c>
      <c r="B30" t="s">
        <v>50</v>
      </c>
      <c r="C30" s="10">
        <f>C5</f>
        <v>284640</v>
      </c>
      <c r="D30" s="168">
        <f>D5</f>
        <v>18398</v>
      </c>
      <c r="E30" s="116">
        <f>E5</f>
        <v>285600</v>
      </c>
      <c r="F30" s="124">
        <f>F5</f>
        <v>16711</v>
      </c>
      <c r="G30" s="10">
        <v>299680</v>
      </c>
      <c r="H30" s="13">
        <v>18676</v>
      </c>
      <c r="I30" s="116">
        <v>298400</v>
      </c>
      <c r="J30" s="123">
        <v>24125</v>
      </c>
      <c r="K30" s="10">
        <v>300000</v>
      </c>
      <c r="L30" s="13">
        <v>32360</v>
      </c>
      <c r="M30" s="62">
        <f>1-D30/L30</f>
        <v>0.43145859085290483</v>
      </c>
      <c r="N30" s="2">
        <f>1-F30/L30</f>
        <v>0.48359085290482073</v>
      </c>
      <c r="O30" t="s">
        <v>48</v>
      </c>
    </row>
  </sheetData>
  <mergeCells count="5">
    <mergeCell ref="K27:O27"/>
    <mergeCell ref="A1:I1"/>
    <mergeCell ref="A25:K25"/>
    <mergeCell ref="A21:B21"/>
    <mergeCell ref="K1:S1"/>
  </mergeCells>
  <printOptions gridLines="1"/>
  <pageMargins left="0.7" right="0.7" top="0.75" bottom="0.75" header="0.3" footer="0.3"/>
  <pageSetup scale="98"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15DBB-CCB6-4B5A-81B5-F5288FC7EF8E}">
  <dimension ref="A1:K25"/>
  <sheetViews>
    <sheetView workbookViewId="0">
      <selection activeCell="B26" sqref="B26"/>
    </sheetView>
  </sheetViews>
  <sheetFormatPr defaultRowHeight="15" x14ac:dyDescent="0.25"/>
  <cols>
    <col min="1" max="1" width="27.85546875" customWidth="1"/>
    <col min="2" max="2" width="11.85546875" customWidth="1"/>
    <col min="3" max="3" width="9.7109375" customWidth="1"/>
    <col min="4" max="4" width="8.42578125" customWidth="1"/>
    <col min="5" max="5" width="9.5703125" customWidth="1"/>
  </cols>
  <sheetData>
    <row r="1" spans="1:11" ht="15.75" x14ac:dyDescent="0.25">
      <c r="A1" s="250" t="s">
        <v>291</v>
      </c>
      <c r="B1" s="250"/>
      <c r="C1" s="250"/>
      <c r="D1" s="250"/>
      <c r="E1" s="250"/>
      <c r="F1" s="250"/>
      <c r="G1" s="250"/>
      <c r="H1" s="250"/>
      <c r="I1" s="250"/>
    </row>
    <row r="2" spans="1:11" ht="30" x14ac:dyDescent="0.25">
      <c r="A2" t="s">
        <v>7</v>
      </c>
      <c r="B2" s="166" t="s">
        <v>311</v>
      </c>
      <c r="C2" s="166" t="s">
        <v>312</v>
      </c>
      <c r="D2" s="107" t="s">
        <v>146</v>
      </c>
      <c r="E2" s="107" t="s">
        <v>147</v>
      </c>
      <c r="F2" s="3" t="s">
        <v>13</v>
      </c>
      <c r="G2" s="3" t="s">
        <v>41</v>
      </c>
      <c r="H2" s="107" t="s">
        <v>12</v>
      </c>
      <c r="I2" s="107" t="s">
        <v>46</v>
      </c>
      <c r="J2" s="3" t="s">
        <v>11</v>
      </c>
      <c r="K2" s="3" t="s">
        <v>14</v>
      </c>
    </row>
    <row r="3" spans="1:11" x14ac:dyDescent="0.25">
      <c r="A3" t="s">
        <v>37</v>
      </c>
      <c r="B3" s="15">
        <v>0</v>
      </c>
      <c r="C3" s="8">
        <v>0</v>
      </c>
      <c r="D3" s="107">
        <v>0</v>
      </c>
      <c r="E3" s="107">
        <v>0</v>
      </c>
      <c r="F3" s="3">
        <v>0</v>
      </c>
      <c r="G3" s="3">
        <v>0</v>
      </c>
      <c r="H3" s="107">
        <v>0</v>
      </c>
      <c r="I3" s="107">
        <v>0</v>
      </c>
      <c r="J3" s="3">
        <v>0</v>
      </c>
      <c r="K3" s="3">
        <v>0</v>
      </c>
    </row>
    <row r="4" spans="1:11" x14ac:dyDescent="0.25">
      <c r="A4" t="s">
        <v>19</v>
      </c>
      <c r="B4" s="15">
        <v>0</v>
      </c>
      <c r="C4" s="8">
        <v>0</v>
      </c>
      <c r="D4" s="107">
        <v>0</v>
      </c>
      <c r="E4" s="107">
        <v>0</v>
      </c>
      <c r="F4" s="10">
        <v>0</v>
      </c>
      <c r="G4" s="10">
        <v>0</v>
      </c>
      <c r="H4" s="116">
        <v>0</v>
      </c>
      <c r="I4" s="116">
        <v>0</v>
      </c>
      <c r="J4" s="10">
        <v>0</v>
      </c>
      <c r="K4" s="10">
        <v>0</v>
      </c>
    </row>
    <row r="5" spans="1:11" x14ac:dyDescent="0.25">
      <c r="A5" t="s">
        <v>48</v>
      </c>
      <c r="B5" s="15">
        <f>'2021 Nat. Gas Entry Form'!N8</f>
        <v>25882</v>
      </c>
      <c r="C5" s="8">
        <f>'2021 Nat. Gas Entry Form'!N18</f>
        <v>25903.02</v>
      </c>
      <c r="D5" s="116">
        <f>'2020 Nat. Gas Entry Form'!H16</f>
        <v>23721</v>
      </c>
      <c r="E5" s="117">
        <f>'2020 Nat. Gas Entry Form'!I16</f>
        <v>13051.190000000002</v>
      </c>
      <c r="F5" s="10">
        <v>23543</v>
      </c>
      <c r="G5" s="5">
        <v>14012</v>
      </c>
      <c r="H5" s="116">
        <v>20784</v>
      </c>
      <c r="I5" s="117">
        <v>13843</v>
      </c>
      <c r="J5" s="10">
        <v>19569</v>
      </c>
      <c r="K5" s="5">
        <v>12291</v>
      </c>
    </row>
    <row r="6" spans="1:11" x14ac:dyDescent="0.25">
      <c r="A6" t="s">
        <v>47</v>
      </c>
      <c r="B6" s="15">
        <f>'2021 Nat. Gas Entry Form'!N4</f>
        <v>39</v>
      </c>
      <c r="C6" s="8">
        <f>'2021 Nat. Gas Entry Form'!N14</f>
        <v>391.63</v>
      </c>
      <c r="D6" s="120">
        <v>17</v>
      </c>
      <c r="E6" s="148">
        <v>377</v>
      </c>
      <c r="F6" s="10">
        <v>949</v>
      </c>
      <c r="G6" s="5">
        <v>913</v>
      </c>
      <c r="H6" s="116">
        <v>420</v>
      </c>
      <c r="I6" s="117">
        <v>603</v>
      </c>
      <c r="J6" s="10">
        <v>51</v>
      </c>
      <c r="K6" s="5">
        <v>340</v>
      </c>
    </row>
    <row r="7" spans="1:11" x14ac:dyDescent="0.25">
      <c r="A7" t="s">
        <v>18</v>
      </c>
      <c r="B7" s="15">
        <f>'2021 Nat. Gas Entry Form'!N5</f>
        <v>1016</v>
      </c>
      <c r="C7" s="8">
        <f>'2021 Nat. Gas Entry Form'!N15</f>
        <v>1319.73</v>
      </c>
      <c r="D7" s="108">
        <f>'2020 Nat. Gas Entry Form'!B16</f>
        <v>858</v>
      </c>
      <c r="E7" s="117">
        <f>'2020 Nat. Gas Entry Form'!C16</f>
        <v>843.94999999999993</v>
      </c>
      <c r="F7" s="10">
        <v>999</v>
      </c>
      <c r="G7" s="5">
        <v>1015</v>
      </c>
      <c r="H7" s="116">
        <v>904</v>
      </c>
      <c r="I7" s="117">
        <v>987</v>
      </c>
      <c r="J7" s="10">
        <v>708</v>
      </c>
      <c r="K7" s="5">
        <v>800</v>
      </c>
    </row>
    <row r="8" spans="1:11" x14ac:dyDescent="0.25">
      <c r="A8" t="s">
        <v>241</v>
      </c>
      <c r="B8" s="15">
        <v>0</v>
      </c>
      <c r="C8" s="8">
        <v>0</v>
      </c>
      <c r="D8" s="107">
        <v>0</v>
      </c>
      <c r="E8" s="107">
        <v>0</v>
      </c>
      <c r="F8" s="10">
        <v>0</v>
      </c>
      <c r="G8" s="5">
        <v>0</v>
      </c>
      <c r="H8" s="116">
        <v>0</v>
      </c>
      <c r="I8" s="117">
        <v>0</v>
      </c>
      <c r="J8" s="10">
        <v>0</v>
      </c>
      <c r="K8" s="5">
        <v>0</v>
      </c>
    </row>
    <row r="9" spans="1:11" x14ac:dyDescent="0.25">
      <c r="A9" t="s">
        <v>17</v>
      </c>
      <c r="B9" s="15">
        <f>'2021 Nat. Gas Entry Form'!N10</f>
        <v>16006</v>
      </c>
      <c r="C9" s="8">
        <f>'2021 Nat. Gas Entry Form'!N20</f>
        <v>15227.919999999998</v>
      </c>
      <c r="D9" s="116">
        <f>'2020 Nat. Gas Entry Form'!L16</f>
        <v>13727</v>
      </c>
      <c r="E9" s="117">
        <f>'2020 Nat. Gas Entry Form'!M16</f>
        <v>9169.0499999999993</v>
      </c>
      <c r="F9" s="10">
        <v>16989</v>
      </c>
      <c r="G9" s="5">
        <v>11082</v>
      </c>
      <c r="H9" s="116">
        <v>15132</v>
      </c>
      <c r="I9" s="117">
        <v>10213</v>
      </c>
      <c r="J9" s="10">
        <v>12519</v>
      </c>
      <c r="K9" s="5">
        <v>8394</v>
      </c>
    </row>
    <row r="10" spans="1:11" x14ac:dyDescent="0.25">
      <c r="A10" t="s">
        <v>56</v>
      </c>
      <c r="B10" s="15">
        <v>0</v>
      </c>
      <c r="C10" s="8">
        <v>0</v>
      </c>
      <c r="D10" s="107">
        <v>0</v>
      </c>
      <c r="E10" s="107">
        <v>0</v>
      </c>
      <c r="F10" s="10">
        <v>0</v>
      </c>
      <c r="G10" s="5">
        <v>0</v>
      </c>
      <c r="H10" s="116">
        <v>0</v>
      </c>
      <c r="I10" s="117">
        <v>0</v>
      </c>
      <c r="J10" s="10">
        <v>0</v>
      </c>
      <c r="K10" s="5">
        <v>0</v>
      </c>
    </row>
    <row r="11" spans="1:11" x14ac:dyDescent="0.25">
      <c r="A11" t="s">
        <v>102</v>
      </c>
      <c r="B11" s="15">
        <v>0</v>
      </c>
      <c r="C11" s="8">
        <v>0</v>
      </c>
      <c r="D11" s="107">
        <v>0</v>
      </c>
      <c r="E11" s="107">
        <v>0</v>
      </c>
      <c r="F11" s="10">
        <v>0</v>
      </c>
      <c r="G11" s="5">
        <v>0</v>
      </c>
      <c r="H11" s="116">
        <v>0</v>
      </c>
      <c r="I11" s="117">
        <v>0</v>
      </c>
      <c r="J11" s="10">
        <v>0</v>
      </c>
      <c r="K11" s="5">
        <v>0</v>
      </c>
    </row>
    <row r="12" spans="1:11" x14ac:dyDescent="0.25">
      <c r="A12" t="s">
        <v>23</v>
      </c>
      <c r="B12" s="15">
        <f>'2021 Nat. Gas Entry Form'!N6</f>
        <v>6099</v>
      </c>
      <c r="C12" s="8">
        <f>'2021 Nat. Gas Entry Form'!N16</f>
        <v>4820.78</v>
      </c>
      <c r="D12" s="108">
        <f>'2020 Nat. Gas Entry Form'!D16</f>
        <v>6006</v>
      </c>
      <c r="E12" s="117">
        <f>'2020 Nat. Gas Entry Form'!E16</f>
        <v>3809.7</v>
      </c>
      <c r="F12" s="10">
        <v>7282</v>
      </c>
      <c r="G12" s="5">
        <v>4964</v>
      </c>
      <c r="H12" s="116">
        <v>7172</v>
      </c>
      <c r="I12" s="117">
        <v>5018</v>
      </c>
      <c r="J12" s="10">
        <v>5562</v>
      </c>
      <c r="K12" s="5">
        <v>3922</v>
      </c>
    </row>
    <row r="13" spans="1:11" x14ac:dyDescent="0.25">
      <c r="A13" t="s">
        <v>57</v>
      </c>
      <c r="B13" s="15">
        <f>'2021 Nat. Gas Entry Form'!N9</f>
        <v>33005</v>
      </c>
      <c r="C13" s="8">
        <f>'2021 Nat. Gas Entry Form'!N19</f>
        <v>32285.32</v>
      </c>
      <c r="D13" s="116">
        <f>'2020 Nat. Gas Entry Form'!J16</f>
        <v>27588</v>
      </c>
      <c r="E13" s="117">
        <f>'2020 Nat. Gas Entry Form'!K16</f>
        <v>15715.210000000001</v>
      </c>
      <c r="F13" s="10">
        <v>30729</v>
      </c>
      <c r="G13" s="5">
        <v>18581</v>
      </c>
      <c r="H13" s="116">
        <v>30504</v>
      </c>
      <c r="I13" s="117">
        <v>20254</v>
      </c>
      <c r="J13" s="10">
        <v>29306</v>
      </c>
      <c r="K13" s="5">
        <v>18543</v>
      </c>
    </row>
    <row r="14" spans="1:11" x14ac:dyDescent="0.25">
      <c r="A14" t="s">
        <v>21</v>
      </c>
      <c r="B14" s="15">
        <v>0</v>
      </c>
      <c r="C14" s="8">
        <v>0</v>
      </c>
      <c r="D14" s="107">
        <v>0</v>
      </c>
      <c r="E14" s="107">
        <v>0</v>
      </c>
      <c r="F14" s="10">
        <v>0</v>
      </c>
      <c r="G14" s="5">
        <v>0</v>
      </c>
      <c r="H14" s="116">
        <v>0</v>
      </c>
      <c r="I14" s="117">
        <v>0</v>
      </c>
      <c r="J14" s="10">
        <v>0</v>
      </c>
      <c r="K14" s="5">
        <v>0</v>
      </c>
    </row>
    <row r="15" spans="1:11" x14ac:dyDescent="0.25">
      <c r="A15" t="s">
        <v>84</v>
      </c>
      <c r="B15" s="15">
        <v>0</v>
      </c>
      <c r="C15" s="8">
        <v>0</v>
      </c>
      <c r="D15" s="107">
        <v>0</v>
      </c>
      <c r="E15" s="107">
        <v>0</v>
      </c>
      <c r="F15" s="10">
        <v>0</v>
      </c>
      <c r="G15" s="5">
        <v>0</v>
      </c>
      <c r="H15" s="116">
        <v>0</v>
      </c>
      <c r="I15" s="117">
        <v>0</v>
      </c>
      <c r="J15" s="10">
        <v>0</v>
      </c>
      <c r="K15" s="5">
        <v>0</v>
      </c>
    </row>
    <row r="16" spans="1:11" x14ac:dyDescent="0.25">
      <c r="A16" t="s">
        <v>263</v>
      </c>
      <c r="B16" s="15">
        <f>'2021 Nat. Gas Entry Form'!N7</f>
        <v>685</v>
      </c>
      <c r="C16" s="8">
        <f>'2021 Nat. Gas Entry Form'!N17</f>
        <v>934</v>
      </c>
      <c r="D16" s="127">
        <f>'2020 Nat. Gas Entry Form'!F16</f>
        <v>684.03522122969628</v>
      </c>
      <c r="E16" s="117">
        <f>'2020 Nat. Gas Entry Form'!G16</f>
        <v>737.16000000000008</v>
      </c>
      <c r="F16" s="10"/>
      <c r="G16" s="5"/>
      <c r="H16" s="116"/>
      <c r="I16" s="117"/>
      <c r="J16" s="10"/>
      <c r="K16" s="5"/>
    </row>
    <row r="17" spans="1:11" x14ac:dyDescent="0.25">
      <c r="A17" s="7" t="s">
        <v>105</v>
      </c>
      <c r="B17" s="15">
        <f>-'Fleet Fuel'!B10</f>
        <v>-7090.6638677512465</v>
      </c>
      <c r="C17" s="24">
        <f>-'Fleet Fuel'!C10</f>
        <v>-5951.7053028907558</v>
      </c>
      <c r="D17" s="128">
        <f>-'Fleet Fuel'!D10</f>
        <v>-5959.0553660456571</v>
      </c>
      <c r="E17" s="129">
        <f>-'Fleet Fuel'!E10</f>
        <v>-3546.829753870375</v>
      </c>
      <c r="F17" s="10">
        <f>-'Fleet Fuel'!F10</f>
        <v>-4760</v>
      </c>
      <c r="G17" s="24">
        <f>-'Fleet Fuel'!G10</f>
        <v>-2833.1519999999996</v>
      </c>
      <c r="H17" s="116">
        <f>-'Fleet Fuel'!H10</f>
        <v>-3596</v>
      </c>
      <c r="I17" s="129">
        <f>-'Fleet Fuel'!I10</f>
        <v>-2394.9360000000001</v>
      </c>
      <c r="J17" s="10">
        <f>-'Fleet Fuel'!J10</f>
        <v>-3750</v>
      </c>
      <c r="K17" s="24">
        <f>-'Fleet Fuel'!K10</f>
        <v>-2355</v>
      </c>
    </row>
    <row r="18" spans="1:11" x14ac:dyDescent="0.25">
      <c r="A18" t="s">
        <v>4</v>
      </c>
      <c r="B18" s="15">
        <f>SUM(B3:B17)</f>
        <v>75641.336132248747</v>
      </c>
      <c r="C18" s="8">
        <f t="shared" ref="C18:K18" si="0">SUM(C3:C17)</f>
        <v>74930.69469710924</v>
      </c>
      <c r="D18" s="116">
        <f>SUM(D3:D17)</f>
        <v>66641.979855184036</v>
      </c>
      <c r="E18" s="117">
        <f t="shared" si="0"/>
        <v>40156.430246129632</v>
      </c>
      <c r="F18" s="10">
        <f t="shared" si="0"/>
        <v>75731</v>
      </c>
      <c r="G18" s="5">
        <f t="shared" si="0"/>
        <v>47733.847999999998</v>
      </c>
      <c r="H18" s="116">
        <f t="shared" si="0"/>
        <v>71320</v>
      </c>
      <c r="I18" s="117">
        <f t="shared" si="0"/>
        <v>48523.063999999998</v>
      </c>
      <c r="J18" s="10">
        <f t="shared" si="0"/>
        <v>63965</v>
      </c>
      <c r="K18" s="5">
        <f t="shared" si="0"/>
        <v>41935</v>
      </c>
    </row>
    <row r="20" spans="1:11" x14ac:dyDescent="0.25">
      <c r="A20" t="s">
        <v>289</v>
      </c>
    </row>
    <row r="22" spans="1:11" x14ac:dyDescent="0.25">
      <c r="B22" t="s">
        <v>398</v>
      </c>
      <c r="C22" t="s">
        <v>397</v>
      </c>
    </row>
    <row r="23" spans="1:11" x14ac:dyDescent="0.25">
      <c r="A23" t="s">
        <v>297</v>
      </c>
      <c r="B23" s="2">
        <f>-(1-D18/F18)</f>
        <v>-0.12001716793408201</v>
      </c>
      <c r="C23" s="2">
        <f>(D18-F18)/F18</f>
        <v>-0.120017167934082</v>
      </c>
    </row>
    <row r="24" spans="1:11" x14ac:dyDescent="0.25">
      <c r="A24" t="s">
        <v>389</v>
      </c>
      <c r="B24" s="2">
        <f>-(1-B18/D18)</f>
        <v>0.13504034989087521</v>
      </c>
      <c r="C24" s="2">
        <f>(B18-D18)/D18</f>
        <v>0.13504034989087524</v>
      </c>
    </row>
    <row r="25" spans="1:11" x14ac:dyDescent="0.25">
      <c r="A25" t="s">
        <v>390</v>
      </c>
      <c r="B25" s="2">
        <f>-(1-B18/F18)</f>
        <v>-1.1839783939371351E-3</v>
      </c>
      <c r="C25" s="2">
        <f>(B18-F18)/F18</f>
        <v>-1.1839783939371306E-3</v>
      </c>
    </row>
  </sheetData>
  <mergeCells count="1">
    <mergeCell ref="A1:I1"/>
  </mergeCells>
  <printOptions gridLines="1"/>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BACCD-0E4A-40A9-9EC2-67CC742D3BF5}">
  <dimension ref="A1:Z49"/>
  <sheetViews>
    <sheetView topLeftCell="A2" workbookViewId="0">
      <selection activeCell="I4" sqref="I4:I15"/>
    </sheetView>
  </sheetViews>
  <sheetFormatPr defaultRowHeight="15" x14ac:dyDescent="0.25"/>
  <cols>
    <col min="1" max="1" width="21.7109375" customWidth="1"/>
    <col min="2" max="3" width="10.140625" bestFit="1" customWidth="1"/>
    <col min="4" max="4" width="12.5703125" customWidth="1"/>
    <col min="5" max="5" width="10.28515625" customWidth="1"/>
    <col min="8" max="8" width="11.5703125" customWidth="1"/>
    <col min="9" max="9" width="12.42578125" customWidth="1"/>
    <col min="11" max="11" width="12.7109375" customWidth="1"/>
    <col min="12" max="12" width="10.5703125" customWidth="1"/>
    <col min="13" max="13" width="12.7109375" customWidth="1"/>
  </cols>
  <sheetData>
    <row r="1" spans="1:26" ht="15.75" x14ac:dyDescent="0.25">
      <c r="A1" s="250" t="s">
        <v>264</v>
      </c>
      <c r="B1" s="250"/>
      <c r="C1" s="250"/>
    </row>
    <row r="2" spans="1:26" x14ac:dyDescent="0.25">
      <c r="A2" s="152"/>
      <c r="B2" s="152"/>
      <c r="C2" s="162"/>
      <c r="D2" s="152"/>
      <c r="E2" s="162"/>
      <c r="F2" s="163"/>
      <c r="G2" s="162"/>
      <c r="H2" s="164"/>
      <c r="I2" s="162"/>
      <c r="J2" s="164"/>
      <c r="K2" s="162"/>
      <c r="L2" s="164"/>
      <c r="M2" s="165"/>
      <c r="N2" s="152"/>
      <c r="O2" s="152"/>
      <c r="P2" s="152"/>
      <c r="Q2" s="152"/>
      <c r="R2" s="152"/>
      <c r="S2" s="152"/>
      <c r="T2" s="152"/>
      <c r="U2" s="152"/>
      <c r="V2" s="152"/>
      <c r="W2" s="152"/>
      <c r="X2" s="152"/>
      <c r="Y2" s="152"/>
      <c r="Z2" s="152"/>
    </row>
    <row r="3" spans="1:26" ht="60" x14ac:dyDescent="0.25">
      <c r="A3">
        <v>2020</v>
      </c>
      <c r="B3" s="107" t="s">
        <v>265</v>
      </c>
      <c r="C3" s="108" t="s">
        <v>266</v>
      </c>
      <c r="D3" s="3" t="s">
        <v>267</v>
      </c>
      <c r="E3" s="3" t="s">
        <v>268</v>
      </c>
      <c r="F3" s="107" t="s">
        <v>269</v>
      </c>
      <c r="G3" s="107" t="s">
        <v>270</v>
      </c>
      <c r="H3" s="3" t="s">
        <v>271</v>
      </c>
      <c r="I3" s="3" t="s">
        <v>272</v>
      </c>
      <c r="J3" s="107" t="s">
        <v>273</v>
      </c>
      <c r="K3" s="107" t="s">
        <v>274</v>
      </c>
      <c r="L3" s="3" t="s">
        <v>275</v>
      </c>
      <c r="M3" s="3" t="s">
        <v>276</v>
      </c>
    </row>
    <row r="4" spans="1:26" x14ac:dyDescent="0.25">
      <c r="A4" t="s">
        <v>277</v>
      </c>
      <c r="B4" s="108">
        <v>141</v>
      </c>
      <c r="C4" s="109">
        <v>112.2</v>
      </c>
      <c r="D4">
        <v>1337</v>
      </c>
      <c r="E4" s="110">
        <v>805.68</v>
      </c>
      <c r="F4" s="111">
        <f t="shared" ref="F4:F15" si="0">(G4-29)/C19</f>
        <v>113.40047210656797</v>
      </c>
      <c r="G4" s="109">
        <v>95.92</v>
      </c>
      <c r="H4">
        <v>2986</v>
      </c>
      <c r="I4" s="110">
        <v>1791.1</v>
      </c>
      <c r="J4" s="108">
        <v>4215</v>
      </c>
      <c r="K4" s="109">
        <v>2564.89</v>
      </c>
      <c r="L4">
        <v>3242</v>
      </c>
      <c r="M4" s="110">
        <v>1942.18</v>
      </c>
    </row>
    <row r="5" spans="1:26" x14ac:dyDescent="0.25">
      <c r="A5" t="s">
        <v>278</v>
      </c>
      <c r="B5" s="108">
        <v>150</v>
      </c>
      <c r="C5" s="109">
        <v>114.8</v>
      </c>
      <c r="D5">
        <v>981</v>
      </c>
      <c r="E5" s="110">
        <v>594.23</v>
      </c>
      <c r="F5" s="111">
        <f t="shared" si="0"/>
        <v>98.462847459057329</v>
      </c>
      <c r="G5" s="109">
        <v>85.01</v>
      </c>
      <c r="H5">
        <v>2819</v>
      </c>
      <c r="I5" s="9">
        <v>1632.57</v>
      </c>
      <c r="J5" s="108">
        <v>4403</v>
      </c>
      <c r="K5" s="109">
        <v>2514.5</v>
      </c>
      <c r="L5">
        <v>2543</v>
      </c>
      <c r="M5">
        <v>1475.57</v>
      </c>
    </row>
    <row r="6" spans="1:26" x14ac:dyDescent="0.25">
      <c r="A6" t="s">
        <v>279</v>
      </c>
      <c r="B6" s="108">
        <v>104</v>
      </c>
      <c r="C6" s="109">
        <v>88.53</v>
      </c>
      <c r="D6">
        <v>663</v>
      </c>
      <c r="E6" s="110">
        <v>402.18</v>
      </c>
      <c r="F6" s="111">
        <f t="shared" si="0"/>
        <v>88.042148542549057</v>
      </c>
      <c r="G6" s="109">
        <v>79.45</v>
      </c>
      <c r="H6">
        <v>1954</v>
      </c>
      <c r="I6" s="110">
        <v>1148.68</v>
      </c>
      <c r="J6" s="108">
        <v>2980</v>
      </c>
      <c r="K6" s="109">
        <v>1765.02</v>
      </c>
      <c r="L6">
        <v>1699</v>
      </c>
      <c r="M6" s="110">
        <v>1002.56</v>
      </c>
    </row>
    <row r="7" spans="1:26" x14ac:dyDescent="0.25">
      <c r="A7" t="s">
        <v>280</v>
      </c>
      <c r="B7" s="108">
        <v>70</v>
      </c>
      <c r="C7" s="109">
        <v>63.95</v>
      </c>
      <c r="D7">
        <v>366</v>
      </c>
      <c r="E7" s="110">
        <v>207.98</v>
      </c>
      <c r="F7" s="111">
        <f t="shared" si="0"/>
        <v>41.653079066826983</v>
      </c>
      <c r="G7" s="109">
        <v>49.82</v>
      </c>
      <c r="H7">
        <v>1599</v>
      </c>
      <c r="I7" s="110">
        <v>828.25</v>
      </c>
      <c r="J7" s="108">
        <v>2271</v>
      </c>
      <c r="K7" s="109">
        <v>1208.08</v>
      </c>
      <c r="L7">
        <v>1101</v>
      </c>
      <c r="M7" s="110">
        <v>579.33000000000004</v>
      </c>
    </row>
    <row r="8" spans="1:26" x14ac:dyDescent="0.25">
      <c r="A8" t="s">
        <v>281</v>
      </c>
      <c r="B8" s="108">
        <v>9</v>
      </c>
      <c r="C8" s="109">
        <v>32.94</v>
      </c>
      <c r="D8">
        <v>8</v>
      </c>
      <c r="E8" s="110">
        <v>32.46</v>
      </c>
      <c r="F8" s="111">
        <f t="shared" si="0"/>
        <v>1.9671576173603935</v>
      </c>
      <c r="G8" s="109">
        <v>29.86</v>
      </c>
      <c r="H8">
        <v>1286</v>
      </c>
      <c r="I8" s="110">
        <v>591.21</v>
      </c>
      <c r="J8" s="108">
        <v>1107</v>
      </c>
      <c r="K8" s="109">
        <v>515.91999999999996</v>
      </c>
      <c r="L8">
        <v>203</v>
      </c>
      <c r="M8" s="110">
        <v>117.74</v>
      </c>
    </row>
    <row r="9" spans="1:26" x14ac:dyDescent="0.25">
      <c r="A9" t="s">
        <v>282</v>
      </c>
      <c r="B9" s="108">
        <v>0</v>
      </c>
      <c r="C9" s="109">
        <v>29</v>
      </c>
      <c r="D9">
        <v>0</v>
      </c>
      <c r="E9" s="110">
        <v>29</v>
      </c>
      <c r="F9" s="111">
        <f t="shared" si="0"/>
        <v>0</v>
      </c>
      <c r="G9" s="109">
        <v>29</v>
      </c>
      <c r="H9">
        <v>1166</v>
      </c>
      <c r="I9" s="110">
        <v>522.82000000000005</v>
      </c>
      <c r="J9" s="108">
        <v>486</v>
      </c>
      <c r="K9" s="109">
        <v>235.11</v>
      </c>
      <c r="L9">
        <v>1</v>
      </c>
      <c r="M9" s="110">
        <v>29.42</v>
      </c>
    </row>
    <row r="10" spans="1:26" x14ac:dyDescent="0.25">
      <c r="A10" t="s">
        <v>283</v>
      </c>
      <c r="B10" s="108">
        <v>1</v>
      </c>
      <c r="C10" s="109">
        <v>29.41</v>
      </c>
      <c r="D10">
        <v>0</v>
      </c>
      <c r="E10" s="110">
        <v>29</v>
      </c>
      <c r="F10" s="111">
        <f t="shared" si="0"/>
        <v>0</v>
      </c>
      <c r="G10" s="109">
        <v>29</v>
      </c>
      <c r="H10">
        <v>1143</v>
      </c>
      <c r="I10" s="110">
        <v>508.83</v>
      </c>
      <c r="J10" s="108">
        <v>339</v>
      </c>
      <c r="K10" s="109">
        <v>170.82</v>
      </c>
      <c r="L10">
        <v>0</v>
      </c>
      <c r="M10" s="110">
        <v>29</v>
      </c>
    </row>
    <row r="11" spans="1:26" x14ac:dyDescent="0.25">
      <c r="A11" t="s">
        <v>284</v>
      </c>
      <c r="B11" s="108">
        <v>0</v>
      </c>
      <c r="C11" s="109">
        <v>31.68</v>
      </c>
      <c r="D11">
        <v>3</v>
      </c>
      <c r="E11" s="110">
        <v>30.37</v>
      </c>
      <c r="F11" s="111">
        <f t="shared" si="0"/>
        <v>6.0548814454212989</v>
      </c>
      <c r="G11" s="109">
        <v>31.75</v>
      </c>
      <c r="H11">
        <v>1207</v>
      </c>
      <c r="I11" s="110">
        <v>577.19000000000005</v>
      </c>
      <c r="J11" s="108">
        <v>364</v>
      </c>
      <c r="K11" s="109">
        <v>187.07</v>
      </c>
      <c r="L11">
        <v>6</v>
      </c>
      <c r="M11" s="110">
        <v>31.72</v>
      </c>
    </row>
    <row r="12" spans="1:26" x14ac:dyDescent="0.25">
      <c r="A12" t="s">
        <v>285</v>
      </c>
      <c r="B12" s="108">
        <v>7</v>
      </c>
      <c r="C12" s="109">
        <v>32.15</v>
      </c>
      <c r="D12">
        <v>16</v>
      </c>
      <c r="E12" s="110">
        <v>35.869999999999997</v>
      </c>
      <c r="F12" s="111">
        <f t="shared" si="0"/>
        <v>23.571322151038807</v>
      </c>
      <c r="G12" s="109">
        <v>39.6</v>
      </c>
      <c r="H12">
        <v>1265</v>
      </c>
      <c r="I12" s="110">
        <v>597.87</v>
      </c>
      <c r="J12" s="108">
        <v>1038</v>
      </c>
      <c r="K12" s="109">
        <v>502.18</v>
      </c>
      <c r="L12">
        <v>209</v>
      </c>
      <c r="M12" s="110">
        <v>122.99</v>
      </c>
    </row>
    <row r="13" spans="1:26" x14ac:dyDescent="0.25">
      <c r="A13" t="s">
        <v>286</v>
      </c>
      <c r="B13" s="108">
        <v>57</v>
      </c>
      <c r="C13" s="109">
        <v>55.03</v>
      </c>
      <c r="D13">
        <v>416</v>
      </c>
      <c r="E13" s="110">
        <v>225.26</v>
      </c>
      <c r="F13" s="111">
        <f t="shared" si="0"/>
        <v>65.67836367048227</v>
      </c>
      <c r="G13" s="109">
        <v>58.75</v>
      </c>
      <c r="H13">
        <v>2106</v>
      </c>
      <c r="I13" s="110">
        <v>982.94</v>
      </c>
      <c r="J13" s="108">
        <v>2572</v>
      </c>
      <c r="K13" s="109">
        <v>1167.1099999999999</v>
      </c>
      <c r="L13">
        <v>1495</v>
      </c>
      <c r="M13" s="110">
        <v>706.18</v>
      </c>
    </row>
    <row r="14" spans="1:26" x14ac:dyDescent="0.25">
      <c r="A14" t="s">
        <v>287</v>
      </c>
      <c r="B14" s="108">
        <v>114</v>
      </c>
      <c r="C14" s="109">
        <v>99.6</v>
      </c>
      <c r="D14">
        <v>828</v>
      </c>
      <c r="E14" s="110">
        <v>542.07000000000005</v>
      </c>
      <c r="F14" s="111">
        <f t="shared" si="0"/>
        <v>109.09038063758773</v>
      </c>
      <c r="G14" s="109">
        <v>96.56</v>
      </c>
      <c r="H14">
        <v>2730</v>
      </c>
      <c r="I14" s="110">
        <v>1719.7</v>
      </c>
      <c r="J14" s="108">
        <v>3132</v>
      </c>
      <c r="K14" s="109">
        <v>1967.19</v>
      </c>
      <c r="L14">
        <v>196</v>
      </c>
      <c r="M14" s="110">
        <v>1244.7</v>
      </c>
    </row>
    <row r="15" spans="1:26" x14ac:dyDescent="0.25">
      <c r="A15" t="s">
        <v>288</v>
      </c>
      <c r="B15" s="108">
        <v>205</v>
      </c>
      <c r="C15" s="109">
        <v>154.66</v>
      </c>
      <c r="D15">
        <v>1388</v>
      </c>
      <c r="E15" s="110">
        <v>875.6</v>
      </c>
      <c r="F15" s="111">
        <f t="shared" si="0"/>
        <v>136.11456853280436</v>
      </c>
      <c r="G15" s="109">
        <v>112.44</v>
      </c>
      <c r="H15">
        <v>3460</v>
      </c>
      <c r="I15" s="110">
        <v>2150.0300000000002</v>
      </c>
      <c r="J15" s="108">
        <v>4681</v>
      </c>
      <c r="K15" s="109">
        <v>2917.32</v>
      </c>
      <c r="L15">
        <v>3032</v>
      </c>
      <c r="M15" s="110">
        <v>1887.66</v>
      </c>
    </row>
    <row r="16" spans="1:26" x14ac:dyDescent="0.25">
      <c r="A16" t="s">
        <v>4</v>
      </c>
      <c r="B16" s="108">
        <f t="shared" ref="B16:G16" si="1">SUM(B4:B15)</f>
        <v>858</v>
      </c>
      <c r="C16" s="109">
        <f t="shared" si="1"/>
        <v>843.94999999999993</v>
      </c>
      <c r="D16">
        <f t="shared" si="1"/>
        <v>6006</v>
      </c>
      <c r="E16" s="110">
        <f t="shared" si="1"/>
        <v>3809.7</v>
      </c>
      <c r="F16" s="1">
        <f t="shared" si="1"/>
        <v>684.03522122969628</v>
      </c>
      <c r="G16" s="109">
        <f t="shared" si="1"/>
        <v>737.16000000000008</v>
      </c>
      <c r="H16" s="112">
        <f t="shared" ref="H16:M16" si="2">SUM(H4:H15)</f>
        <v>23721</v>
      </c>
      <c r="I16" s="110">
        <f t="shared" si="2"/>
        <v>13051.190000000002</v>
      </c>
      <c r="J16" s="113">
        <f t="shared" si="2"/>
        <v>27588</v>
      </c>
      <c r="K16" s="109">
        <f t="shared" si="2"/>
        <v>15715.210000000001</v>
      </c>
      <c r="L16" s="112">
        <f t="shared" si="2"/>
        <v>13727</v>
      </c>
      <c r="M16" s="114">
        <f t="shared" si="2"/>
        <v>9169.0499999999993</v>
      </c>
    </row>
    <row r="17" spans="1:11" x14ac:dyDescent="0.25">
      <c r="E17" s="110"/>
      <c r="K17" s="110"/>
    </row>
    <row r="18" spans="1:11" ht="45" x14ac:dyDescent="0.25">
      <c r="A18" t="s">
        <v>294</v>
      </c>
      <c r="B18" s="166" t="s">
        <v>324</v>
      </c>
      <c r="C18" s="152">
        <v>2020</v>
      </c>
      <c r="D18" s="152">
        <v>2019</v>
      </c>
      <c r="F18" s="3" t="s">
        <v>296</v>
      </c>
      <c r="G18" s="3" t="s">
        <v>293</v>
      </c>
      <c r="H18" s="151" t="s">
        <v>292</v>
      </c>
      <c r="I18" s="3" t="s">
        <v>295</v>
      </c>
      <c r="J18" s="3"/>
    </row>
    <row r="19" spans="1:11" x14ac:dyDescent="0.25">
      <c r="A19" t="s">
        <v>277</v>
      </c>
      <c r="B19" s="115">
        <v>0.59334500000000001</v>
      </c>
      <c r="C19" s="115">
        <v>0.59012100000000001</v>
      </c>
      <c r="D19" s="115">
        <v>0.67561099999999996</v>
      </c>
      <c r="F19" s="2">
        <f>-(1-C19/D19)</f>
        <v>-0.12653731215151909</v>
      </c>
      <c r="G19">
        <v>1773</v>
      </c>
      <c r="H19">
        <v>1383</v>
      </c>
      <c r="I19" s="2">
        <f>-(1-H19/G19)</f>
        <v>-0.21996615905245342</v>
      </c>
    </row>
    <row r="20" spans="1:11" x14ac:dyDescent="0.25">
      <c r="A20" t="s">
        <v>278</v>
      </c>
      <c r="B20" s="115">
        <v>0.59293700000000005</v>
      </c>
      <c r="C20" s="115">
        <v>0.56884400000000002</v>
      </c>
      <c r="D20" s="115">
        <v>0.60801499999999997</v>
      </c>
      <c r="F20" s="2">
        <f>-(1-C20/D20)</f>
        <v>-6.4424397424405533E-2</v>
      </c>
      <c r="G20">
        <v>1615</v>
      </c>
      <c r="H20">
        <v>1340</v>
      </c>
      <c r="I20" s="2">
        <f t="shared" ref="I20:I23" si="3">-(1-H20/G20)</f>
        <v>-0.1702786377708978</v>
      </c>
    </row>
    <row r="21" spans="1:11" x14ac:dyDescent="0.25">
      <c r="A21" t="s">
        <v>279</v>
      </c>
      <c r="B21" s="115">
        <v>0.75225699999999995</v>
      </c>
      <c r="C21" s="115">
        <v>0.573021</v>
      </c>
      <c r="D21" s="115">
        <v>0.59202100000000002</v>
      </c>
      <c r="F21" s="2">
        <f>-(1-C21/D21)</f>
        <v>-3.2093456144292154E-2</v>
      </c>
      <c r="G21">
        <v>988</v>
      </c>
      <c r="H21">
        <v>1058</v>
      </c>
      <c r="I21" s="2">
        <f t="shared" si="3"/>
        <v>7.0850202429149745E-2</v>
      </c>
    </row>
    <row r="22" spans="1:11" x14ac:dyDescent="0.25">
      <c r="A22" t="s">
        <v>280</v>
      </c>
      <c r="B22" s="115">
        <v>1.0775939999999999</v>
      </c>
      <c r="C22" s="115">
        <v>0.49984299999999998</v>
      </c>
      <c r="D22" s="115">
        <v>0.56552400000000003</v>
      </c>
      <c r="F22" s="2">
        <f>-(1-C22/D22)</f>
        <v>-0.11614184367064884</v>
      </c>
      <c r="G22">
        <v>778</v>
      </c>
      <c r="H22">
        <v>846</v>
      </c>
      <c r="I22" s="2">
        <f t="shared" si="3"/>
        <v>8.740359897172234E-2</v>
      </c>
    </row>
    <row r="23" spans="1:11" x14ac:dyDescent="0.25">
      <c r="A23" t="s">
        <v>281</v>
      </c>
      <c r="B23" s="115">
        <v>1.0428299999999999</v>
      </c>
      <c r="C23" s="115">
        <v>0.43717899999999998</v>
      </c>
      <c r="D23" s="115">
        <v>0.48159600000000002</v>
      </c>
      <c r="F23" s="2">
        <f>-(1-C23/D23)</f>
        <v>-9.2228756052791239E-2</v>
      </c>
      <c r="G23">
        <v>383</v>
      </c>
      <c r="H23">
        <v>260</v>
      </c>
      <c r="I23" s="2">
        <f t="shared" si="3"/>
        <v>-0.3211488250652742</v>
      </c>
    </row>
    <row r="24" spans="1:11" x14ac:dyDescent="0.25">
      <c r="A24" t="s">
        <v>282</v>
      </c>
      <c r="B24" s="115">
        <v>1.068425</v>
      </c>
      <c r="C24" s="115">
        <v>0.423516</v>
      </c>
      <c r="D24" s="115">
        <v>0.48159600000000002</v>
      </c>
      <c r="F24" s="2"/>
      <c r="I24" s="2"/>
    </row>
    <row r="25" spans="1:11" x14ac:dyDescent="0.25">
      <c r="A25" t="s">
        <v>283</v>
      </c>
      <c r="B25" s="115">
        <v>1.115507</v>
      </c>
      <c r="C25" s="115">
        <v>0.41979499999999997</v>
      </c>
      <c r="D25" s="115">
        <v>0.48159600000000002</v>
      </c>
      <c r="F25" s="2"/>
      <c r="I25" s="2"/>
    </row>
    <row r="26" spans="1:11" x14ac:dyDescent="0.25">
      <c r="A26" t="s">
        <v>284</v>
      </c>
      <c r="B26" s="115">
        <v>1.1731670000000001</v>
      </c>
      <c r="C26" s="115">
        <v>0.454179</v>
      </c>
      <c r="D26" s="115">
        <v>0.48159600000000002</v>
      </c>
      <c r="F26" s="2"/>
      <c r="I26" s="2"/>
    </row>
    <row r="27" spans="1:11" x14ac:dyDescent="0.25">
      <c r="A27" t="s">
        <v>285</v>
      </c>
      <c r="B27" s="115">
        <v>1.208995</v>
      </c>
      <c r="C27" s="115">
        <v>0.44969900000000002</v>
      </c>
      <c r="D27" s="115">
        <v>0.48159600000000002</v>
      </c>
      <c r="F27" s="2">
        <f>-(1-C27/D27)</f>
        <v>-6.6231862390883633E-2</v>
      </c>
      <c r="G27">
        <v>261</v>
      </c>
      <c r="H27">
        <v>414</v>
      </c>
      <c r="I27" s="2">
        <f t="shared" ref="I27" si="4">-(1-H27/G27)</f>
        <v>0.5862068965517242</v>
      </c>
    </row>
    <row r="28" spans="1:11" x14ac:dyDescent="0.25">
      <c r="A28" t="s">
        <v>286</v>
      </c>
      <c r="B28" s="115">
        <v>1.3439190000000001</v>
      </c>
      <c r="C28" s="115">
        <v>0.45296500000000001</v>
      </c>
      <c r="D28" s="115">
        <v>0.53441799999999995</v>
      </c>
      <c r="F28" s="2">
        <f>-(1-C28/D28)</f>
        <v>-0.15241440220950631</v>
      </c>
      <c r="G28">
        <v>946</v>
      </c>
      <c r="H28">
        <v>801</v>
      </c>
      <c r="I28" s="2">
        <f t="shared" ref="I28:I31" si="5">-(1-H28/G28)</f>
        <v>-0.15327695560253696</v>
      </c>
    </row>
    <row r="29" spans="1:11" x14ac:dyDescent="0.25">
      <c r="A29" t="s">
        <v>287</v>
      </c>
      <c r="B29" s="115">
        <v>1.3877489999999999</v>
      </c>
      <c r="C29" s="115">
        <v>0.61930300000000005</v>
      </c>
      <c r="D29" s="115">
        <v>0.62539800000000001</v>
      </c>
      <c r="F29" s="2">
        <f>-(1-C29/D29)</f>
        <v>-9.7457938784580866E-3</v>
      </c>
      <c r="G29">
        <v>1364</v>
      </c>
      <c r="H29">
        <v>1113</v>
      </c>
      <c r="I29" s="2">
        <f t="shared" si="5"/>
        <v>-0.18401759530791784</v>
      </c>
    </row>
    <row r="30" spans="1:11" x14ac:dyDescent="0.25">
      <c r="A30" t="s">
        <v>288</v>
      </c>
      <c r="B30" s="115">
        <v>1.17134</v>
      </c>
      <c r="C30" s="115">
        <v>0.61301300000000003</v>
      </c>
      <c r="D30" s="115">
        <v>0.83319799999999999</v>
      </c>
      <c r="F30" s="2">
        <f>-(1-C30/D30)</f>
        <v>-0.26426491662245943</v>
      </c>
      <c r="G30">
        <v>1601</v>
      </c>
      <c r="H30">
        <v>1531</v>
      </c>
      <c r="I30" s="2">
        <f t="shared" si="5"/>
        <v>-4.3722673329169237E-2</v>
      </c>
    </row>
    <row r="31" spans="1:11" x14ac:dyDescent="0.25">
      <c r="A31" t="s">
        <v>4</v>
      </c>
      <c r="B31" s="115"/>
      <c r="C31" s="115"/>
      <c r="F31" s="2"/>
      <c r="G31">
        <f>SUM(G19:G30)</f>
        <v>9709</v>
      </c>
      <c r="H31">
        <f>SUM(H19:H30)</f>
        <v>8746</v>
      </c>
      <c r="I31" s="153">
        <f t="shared" si="5"/>
        <v>-9.9186321969306879E-2</v>
      </c>
    </row>
    <row r="32" spans="1:11" x14ac:dyDescent="0.25">
      <c r="A32" t="s">
        <v>181</v>
      </c>
      <c r="B32" s="115">
        <f>AVERAGE(B19:B30)</f>
        <v>1.0440054166666666</v>
      </c>
      <c r="C32" s="115">
        <f>AVERAGE(C19:C30)</f>
        <v>0.50845649999999998</v>
      </c>
      <c r="D32" s="115">
        <f>AVERAGE(D19:D30)</f>
        <v>0.57018041666666663</v>
      </c>
      <c r="F32" s="153">
        <f>-(1-C32/D32)</f>
        <v>-0.10825330871149696</v>
      </c>
      <c r="I32" s="2"/>
    </row>
    <row r="34" spans="1:4" x14ac:dyDescent="0.25">
      <c r="A34" t="s">
        <v>323</v>
      </c>
    </row>
    <row r="37" spans="1:4" x14ac:dyDescent="0.25">
      <c r="A37" t="s">
        <v>325</v>
      </c>
      <c r="B37">
        <v>2021</v>
      </c>
      <c r="C37">
        <v>2020</v>
      </c>
      <c r="D37">
        <v>2019</v>
      </c>
    </row>
    <row r="38" spans="1:4" x14ac:dyDescent="0.25">
      <c r="A38" t="s">
        <v>277</v>
      </c>
      <c r="B38" s="115">
        <v>0.39274500000000001</v>
      </c>
      <c r="C38" s="115">
        <v>0.38952100000000001</v>
      </c>
      <c r="D38" s="115">
        <v>0.471111</v>
      </c>
    </row>
    <row r="39" spans="1:4" x14ac:dyDescent="0.25">
      <c r="A39" t="s">
        <v>278</v>
      </c>
      <c r="B39" s="115">
        <v>0.39233699999999999</v>
      </c>
      <c r="C39" s="115">
        <v>0.36824400000000002</v>
      </c>
      <c r="D39" s="115">
        <v>0.38351499999999999</v>
      </c>
    </row>
    <row r="40" spans="1:4" x14ac:dyDescent="0.25">
      <c r="A40" t="s">
        <v>326</v>
      </c>
      <c r="B40" s="115">
        <v>0.55165699999999995</v>
      </c>
      <c r="C40" s="115">
        <v>0.372421</v>
      </c>
      <c r="D40" s="115">
        <v>0.36752099999999999</v>
      </c>
    </row>
    <row r="41" spans="1:4" x14ac:dyDescent="0.25">
      <c r="A41" t="s">
        <v>327</v>
      </c>
      <c r="B41" s="115">
        <v>0.87699400000000005</v>
      </c>
      <c r="C41" s="115">
        <v>0.29924299999999998</v>
      </c>
      <c r="D41" s="115">
        <v>0.34102399999999999</v>
      </c>
    </row>
    <row r="42" spans="1:4" x14ac:dyDescent="0.25">
      <c r="A42" t="s">
        <v>281</v>
      </c>
      <c r="B42" s="115">
        <v>0.84223000000000003</v>
      </c>
      <c r="C42" s="115">
        <v>0.23657900000000001</v>
      </c>
      <c r="D42" s="115">
        <v>0.25709599999999999</v>
      </c>
    </row>
    <row r="43" spans="1:4" x14ac:dyDescent="0.25">
      <c r="A43" t="s">
        <v>328</v>
      </c>
      <c r="B43" s="115">
        <v>0.86782499999999996</v>
      </c>
      <c r="C43" s="115">
        <v>0.222916</v>
      </c>
      <c r="D43" s="115">
        <v>0.24490300000000001</v>
      </c>
    </row>
    <row r="44" spans="1:4" x14ac:dyDescent="0.25">
      <c r="A44" t="s">
        <v>329</v>
      </c>
      <c r="B44" s="115">
        <v>0.91490700000000003</v>
      </c>
      <c r="C44" s="115">
        <v>0.219195</v>
      </c>
      <c r="D44" s="115">
        <v>0.227599</v>
      </c>
    </row>
    <row r="45" spans="1:4" x14ac:dyDescent="0.25">
      <c r="A45" t="s">
        <v>330</v>
      </c>
      <c r="B45" s="115">
        <v>0.97256699999999996</v>
      </c>
      <c r="C45" s="115">
        <v>0.253579</v>
      </c>
      <c r="D45" s="115">
        <v>0.235846</v>
      </c>
    </row>
    <row r="46" spans="1:4" x14ac:dyDescent="0.25">
      <c r="A46" t="s">
        <v>331</v>
      </c>
      <c r="B46" s="115">
        <v>1.0083949999999999</v>
      </c>
      <c r="C46" s="115">
        <v>0.24909899999999999</v>
      </c>
      <c r="D46" s="115">
        <v>0.25772099999999998</v>
      </c>
    </row>
    <row r="47" spans="1:4" x14ac:dyDescent="0.25">
      <c r="A47" t="s">
        <v>286</v>
      </c>
      <c r="B47" s="115">
        <v>1.143319</v>
      </c>
      <c r="C47" s="115">
        <v>0.25236500000000001</v>
      </c>
      <c r="D47" s="115">
        <v>0.30991800000000003</v>
      </c>
    </row>
    <row r="48" spans="1:4" x14ac:dyDescent="0.25">
      <c r="A48" t="s">
        <v>287</v>
      </c>
      <c r="B48" s="115">
        <v>1.187149</v>
      </c>
      <c r="C48" s="115">
        <v>0.41870299999999999</v>
      </c>
      <c r="D48" s="115">
        <v>0.40089799999999998</v>
      </c>
    </row>
    <row r="49" spans="1:4" x14ac:dyDescent="0.25">
      <c r="A49" t="s">
        <v>288</v>
      </c>
      <c r="B49" s="115">
        <v>0.92234000000000005</v>
      </c>
      <c r="C49" s="115">
        <v>0.41241299999999997</v>
      </c>
      <c r="D49" s="115">
        <v>0.40809800000000002</v>
      </c>
    </row>
  </sheetData>
  <mergeCells count="1">
    <mergeCell ref="A1:C1"/>
  </mergeCells>
  <phoneticPr fontId="10"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57057-1998-43F2-8FBD-77EDEF001D75}">
  <dimension ref="A1:N58"/>
  <sheetViews>
    <sheetView zoomScaleNormal="100" workbookViewId="0">
      <selection activeCell="A58" sqref="A58"/>
    </sheetView>
  </sheetViews>
  <sheetFormatPr defaultRowHeight="15" x14ac:dyDescent="0.25"/>
  <cols>
    <col min="1" max="1" width="40.42578125" customWidth="1"/>
    <col min="2" max="13" width="9.5703125" bestFit="1" customWidth="1"/>
    <col min="14" max="14" width="10.5703125" bestFit="1" customWidth="1"/>
  </cols>
  <sheetData>
    <row r="1" spans="1:14" x14ac:dyDescent="0.25">
      <c r="A1" s="4" t="s">
        <v>372</v>
      </c>
    </row>
    <row r="3" spans="1:14" x14ac:dyDescent="0.25">
      <c r="A3" s="4" t="s">
        <v>311</v>
      </c>
      <c r="B3" t="s">
        <v>277</v>
      </c>
      <c r="C3" t="s">
        <v>278</v>
      </c>
      <c r="D3" t="s">
        <v>279</v>
      </c>
      <c r="E3" t="s">
        <v>280</v>
      </c>
      <c r="F3" t="s">
        <v>281</v>
      </c>
      <c r="G3" t="s">
        <v>282</v>
      </c>
      <c r="H3" t="s">
        <v>283</v>
      </c>
      <c r="I3" t="s">
        <v>284</v>
      </c>
      <c r="J3" t="s">
        <v>285</v>
      </c>
      <c r="K3" t="s">
        <v>286</v>
      </c>
      <c r="L3" t="s">
        <v>287</v>
      </c>
      <c r="M3" t="s">
        <v>288</v>
      </c>
      <c r="N3" t="s">
        <v>4</v>
      </c>
    </row>
    <row r="4" spans="1:14" x14ac:dyDescent="0.25">
      <c r="A4" s="198" t="s">
        <v>348</v>
      </c>
      <c r="B4">
        <v>0</v>
      </c>
      <c r="C4">
        <v>0</v>
      </c>
      <c r="D4">
        <v>0</v>
      </c>
      <c r="E4">
        <v>0</v>
      </c>
      <c r="F4">
        <v>14</v>
      </c>
      <c r="G4">
        <v>3</v>
      </c>
      <c r="H4">
        <v>3</v>
      </c>
      <c r="I4">
        <v>13</v>
      </c>
      <c r="J4">
        <v>6</v>
      </c>
      <c r="K4">
        <v>0</v>
      </c>
      <c r="L4">
        <v>0</v>
      </c>
      <c r="M4">
        <v>0</v>
      </c>
      <c r="N4" s="164">
        <f t="shared" ref="N4:N10" si="0">SUM(B4:M4)</f>
        <v>39</v>
      </c>
    </row>
    <row r="5" spans="1:14" x14ac:dyDescent="0.25">
      <c r="A5" s="3" t="s">
        <v>332</v>
      </c>
      <c r="B5">
        <v>214</v>
      </c>
      <c r="C5">
        <v>205</v>
      </c>
      <c r="D5">
        <v>132</v>
      </c>
      <c r="E5">
        <v>90</v>
      </c>
      <c r="F5">
        <v>9</v>
      </c>
      <c r="G5">
        <v>3</v>
      </c>
      <c r="H5">
        <v>5</v>
      </c>
      <c r="I5">
        <v>2</v>
      </c>
      <c r="J5">
        <v>3</v>
      </c>
      <c r="K5" s="152">
        <v>9</v>
      </c>
      <c r="L5" s="152">
        <v>111</v>
      </c>
      <c r="M5" s="152">
        <v>233</v>
      </c>
      <c r="N5" s="164">
        <f t="shared" si="0"/>
        <v>1016</v>
      </c>
    </row>
    <row r="6" spans="1:14" x14ac:dyDescent="0.25">
      <c r="A6" s="3" t="s">
        <v>23</v>
      </c>
      <c r="B6">
        <v>1567</v>
      </c>
      <c r="C6">
        <v>979</v>
      </c>
      <c r="D6">
        <v>319</v>
      </c>
      <c r="E6">
        <v>209</v>
      </c>
      <c r="F6">
        <v>203</v>
      </c>
      <c r="G6">
        <v>1</v>
      </c>
      <c r="H6">
        <v>0</v>
      </c>
      <c r="I6">
        <v>0</v>
      </c>
      <c r="J6">
        <v>0</v>
      </c>
      <c r="K6">
        <v>160</v>
      </c>
      <c r="L6">
        <v>946</v>
      </c>
      <c r="M6">
        <v>1715</v>
      </c>
      <c r="N6" s="164">
        <f t="shared" si="0"/>
        <v>6099</v>
      </c>
    </row>
    <row r="7" spans="1:14" x14ac:dyDescent="0.25">
      <c r="A7" s="3" t="s">
        <v>263</v>
      </c>
      <c r="B7" s="1"/>
      <c r="C7" s="1"/>
      <c r="D7" s="1"/>
      <c r="E7" s="1"/>
      <c r="F7" s="1"/>
      <c r="G7" s="1"/>
      <c r="H7" s="1"/>
      <c r="I7" s="1"/>
      <c r="J7" s="1"/>
      <c r="K7" s="1"/>
      <c r="L7" s="1"/>
      <c r="M7" s="1"/>
      <c r="N7" s="164">
        <v>685</v>
      </c>
    </row>
    <row r="8" spans="1:14" x14ac:dyDescent="0.25">
      <c r="A8" s="3" t="s">
        <v>48</v>
      </c>
      <c r="B8">
        <v>3501</v>
      </c>
      <c r="C8">
        <v>3578</v>
      </c>
      <c r="D8">
        <v>2366</v>
      </c>
      <c r="E8">
        <v>1843</v>
      </c>
      <c r="F8">
        <v>1350</v>
      </c>
      <c r="G8">
        <v>1237</v>
      </c>
      <c r="H8">
        <v>1019</v>
      </c>
      <c r="I8">
        <v>1122</v>
      </c>
      <c r="J8">
        <v>1165</v>
      </c>
      <c r="K8">
        <v>1633</v>
      </c>
      <c r="L8">
        <v>2957</v>
      </c>
      <c r="M8">
        <v>4111</v>
      </c>
      <c r="N8" s="164">
        <f t="shared" si="0"/>
        <v>25882</v>
      </c>
    </row>
    <row r="9" spans="1:14" x14ac:dyDescent="0.25">
      <c r="A9" s="3" t="s">
        <v>57</v>
      </c>
      <c r="B9">
        <v>4333</v>
      </c>
      <c r="C9">
        <v>5527</v>
      </c>
      <c r="D9">
        <v>2913</v>
      </c>
      <c r="E9">
        <v>2386</v>
      </c>
      <c r="F9">
        <v>1207</v>
      </c>
      <c r="G9">
        <v>991</v>
      </c>
      <c r="H9">
        <v>1667</v>
      </c>
      <c r="I9">
        <v>1709</v>
      </c>
      <c r="J9">
        <v>2067</v>
      </c>
      <c r="K9">
        <v>2105</v>
      </c>
      <c r="L9">
        <v>3481</v>
      </c>
      <c r="M9">
        <v>4619</v>
      </c>
      <c r="N9" s="164">
        <f t="shared" si="0"/>
        <v>33005</v>
      </c>
    </row>
    <row r="10" spans="1:14" x14ac:dyDescent="0.25">
      <c r="A10" s="3" t="s">
        <v>333</v>
      </c>
      <c r="B10">
        <v>3213</v>
      </c>
      <c r="C10">
        <v>3035</v>
      </c>
      <c r="D10">
        <v>1674</v>
      </c>
      <c r="E10">
        <v>1113</v>
      </c>
      <c r="F10">
        <v>225</v>
      </c>
      <c r="G10">
        <v>21</v>
      </c>
      <c r="H10">
        <v>0</v>
      </c>
      <c r="I10">
        <v>0</v>
      </c>
      <c r="J10">
        <v>18</v>
      </c>
      <c r="K10">
        <v>744</v>
      </c>
      <c r="L10">
        <v>2288</v>
      </c>
      <c r="M10">
        <v>3675</v>
      </c>
      <c r="N10" s="164">
        <f t="shared" si="0"/>
        <v>16006</v>
      </c>
    </row>
    <row r="11" spans="1:14" x14ac:dyDescent="0.25">
      <c r="A11" s="3" t="s">
        <v>4</v>
      </c>
      <c r="B11">
        <f>SUM(B5:B10)</f>
        <v>12828</v>
      </c>
      <c r="C11">
        <f t="shared" ref="C11:N11" si="1">SUM(C5:C10)</f>
        <v>13324</v>
      </c>
      <c r="D11">
        <f t="shared" si="1"/>
        <v>7404</v>
      </c>
      <c r="E11">
        <f t="shared" si="1"/>
        <v>5641</v>
      </c>
      <c r="F11">
        <f t="shared" si="1"/>
        <v>2994</v>
      </c>
      <c r="G11">
        <f t="shared" si="1"/>
        <v>2253</v>
      </c>
      <c r="H11">
        <f t="shared" si="1"/>
        <v>2691</v>
      </c>
      <c r="I11">
        <f t="shared" si="1"/>
        <v>2833</v>
      </c>
      <c r="J11">
        <f t="shared" si="1"/>
        <v>3253</v>
      </c>
      <c r="K11">
        <f t="shared" si="1"/>
        <v>4651</v>
      </c>
      <c r="L11">
        <f t="shared" si="1"/>
        <v>9783</v>
      </c>
      <c r="M11">
        <f t="shared" si="1"/>
        <v>14353</v>
      </c>
      <c r="N11" s="211">
        <f t="shared" si="1"/>
        <v>82693</v>
      </c>
    </row>
    <row r="13" spans="1:14" x14ac:dyDescent="0.25">
      <c r="A13" s="4" t="s">
        <v>334</v>
      </c>
    </row>
    <row r="14" spans="1:14" x14ac:dyDescent="0.25">
      <c r="A14" s="198" t="s">
        <v>348</v>
      </c>
      <c r="B14" s="165">
        <v>29</v>
      </c>
      <c r="C14" s="165">
        <v>29.4</v>
      </c>
      <c r="D14" s="165">
        <v>29.29</v>
      </c>
      <c r="E14" s="165">
        <v>29</v>
      </c>
      <c r="F14" s="165">
        <v>43.96</v>
      </c>
      <c r="G14" s="165">
        <v>32.14</v>
      </c>
      <c r="H14" s="165">
        <v>32.21</v>
      </c>
      <c r="I14" s="165">
        <v>43.61</v>
      </c>
      <c r="J14" s="165">
        <v>36.020000000000003</v>
      </c>
      <c r="K14" s="165">
        <v>29</v>
      </c>
      <c r="L14" s="165">
        <v>29</v>
      </c>
      <c r="M14" s="165">
        <v>29</v>
      </c>
      <c r="N14" s="167">
        <f t="shared" ref="N14:N20" si="2">SUM(B14:M14)</f>
        <v>391.63</v>
      </c>
    </row>
    <row r="15" spans="1:14" x14ac:dyDescent="0.25">
      <c r="A15" t="s">
        <v>332</v>
      </c>
      <c r="B15" s="165">
        <v>164</v>
      </c>
      <c r="C15" s="165">
        <v>158.87</v>
      </c>
      <c r="D15" s="165">
        <v>136.54</v>
      </c>
      <c r="E15" s="165">
        <v>132.87</v>
      </c>
      <c r="F15" s="165">
        <v>40.520000000000003</v>
      </c>
      <c r="G15" s="165">
        <v>33.97</v>
      </c>
      <c r="H15" s="165">
        <v>36.49</v>
      </c>
      <c r="I15" s="165">
        <v>33.06</v>
      </c>
      <c r="J15" s="165">
        <v>34.450000000000003</v>
      </c>
      <c r="K15" s="210">
        <v>43.35</v>
      </c>
      <c r="L15" s="210">
        <v>193.14</v>
      </c>
      <c r="M15" s="210">
        <v>312.47000000000003</v>
      </c>
      <c r="N15" s="167">
        <f t="shared" si="2"/>
        <v>1319.73</v>
      </c>
    </row>
    <row r="16" spans="1:14" x14ac:dyDescent="0.25">
      <c r="A16" s="3" t="s">
        <v>23</v>
      </c>
      <c r="B16" s="168">
        <v>955.56</v>
      </c>
      <c r="C16" s="168"/>
      <c r="D16" s="168" t="s">
        <v>322</v>
      </c>
      <c r="E16" s="168">
        <v>253.15</v>
      </c>
      <c r="F16" s="168">
        <v>30.04</v>
      </c>
      <c r="G16" s="168">
        <v>29</v>
      </c>
      <c r="H16" s="168">
        <v>29</v>
      </c>
      <c r="I16" s="168">
        <v>29</v>
      </c>
      <c r="J16" s="168">
        <v>29</v>
      </c>
      <c r="K16" s="168">
        <v>245.44</v>
      </c>
      <c r="L16" s="168">
        <v>1335.47</v>
      </c>
      <c r="M16" s="168">
        <v>1885.12</v>
      </c>
      <c r="N16" s="167">
        <f t="shared" si="2"/>
        <v>4820.78</v>
      </c>
    </row>
    <row r="17" spans="1:14" x14ac:dyDescent="0.25">
      <c r="A17" s="3" t="s">
        <v>263</v>
      </c>
      <c r="B17" s="165"/>
      <c r="C17" s="165"/>
      <c r="D17" s="165"/>
      <c r="E17" s="165"/>
      <c r="F17" s="165"/>
      <c r="G17" s="165"/>
      <c r="H17" s="165"/>
      <c r="I17" s="165"/>
      <c r="J17" s="165"/>
      <c r="K17" s="165"/>
      <c r="L17" s="165"/>
      <c r="M17" s="165"/>
      <c r="N17" s="167">
        <v>934</v>
      </c>
    </row>
    <row r="18" spans="1:14" x14ac:dyDescent="0.25">
      <c r="A18" s="3" t="s">
        <v>48</v>
      </c>
      <c r="B18" s="168">
        <v>2106.3000000000002</v>
      </c>
      <c r="C18" s="168">
        <v>2150.5300000000002</v>
      </c>
      <c r="D18" s="168">
        <v>1808.84</v>
      </c>
      <c r="E18" s="168">
        <v>2015.01</v>
      </c>
      <c r="F18" s="168">
        <v>1436.82</v>
      </c>
      <c r="G18" s="168">
        <v>1350.64</v>
      </c>
      <c r="H18" s="168">
        <v>1165.7</v>
      </c>
      <c r="I18" s="168">
        <v>1345.29</v>
      </c>
      <c r="J18" s="168">
        <v>1437.48</v>
      </c>
      <c r="K18" s="168">
        <v>2223.62</v>
      </c>
      <c r="L18" s="168">
        <v>4132.57</v>
      </c>
      <c r="M18" s="168">
        <v>4730.22</v>
      </c>
      <c r="N18" s="167">
        <f t="shared" si="2"/>
        <v>25903.02</v>
      </c>
    </row>
    <row r="19" spans="1:14" x14ac:dyDescent="0.25">
      <c r="A19" s="3" t="s">
        <v>57</v>
      </c>
      <c r="B19" s="168">
        <v>2611.98</v>
      </c>
      <c r="C19" s="168">
        <v>3291.83</v>
      </c>
      <c r="D19" s="168">
        <v>1994.28</v>
      </c>
      <c r="E19" s="168">
        <v>2625.81</v>
      </c>
      <c r="F19" s="168">
        <v>1287.57</v>
      </c>
      <c r="G19" s="168">
        <v>1076.33</v>
      </c>
      <c r="H19" s="168">
        <v>1871.97</v>
      </c>
      <c r="I19" s="168">
        <v>2017.35</v>
      </c>
      <c r="J19" s="168">
        <v>2053.08</v>
      </c>
      <c r="K19" s="168">
        <v>2816.2</v>
      </c>
      <c r="L19" s="168">
        <v>4895.29</v>
      </c>
      <c r="M19" s="168">
        <v>5743.63</v>
      </c>
      <c r="N19" s="167">
        <f t="shared" si="2"/>
        <v>32285.32</v>
      </c>
    </row>
    <row r="20" spans="1:14" x14ac:dyDescent="0.25">
      <c r="A20" s="3" t="s">
        <v>333</v>
      </c>
      <c r="B20" s="165">
        <v>1935.42</v>
      </c>
      <c r="C20" s="168">
        <v>1828.56</v>
      </c>
      <c r="D20" s="165">
        <v>1288.28</v>
      </c>
      <c r="E20" s="165">
        <v>1228.3599999999999</v>
      </c>
      <c r="F20" s="165">
        <v>263.64999999999998</v>
      </c>
      <c r="G20" s="165">
        <v>51.43</v>
      </c>
      <c r="H20" s="165">
        <v>29</v>
      </c>
      <c r="I20" s="168">
        <v>29</v>
      </c>
      <c r="J20" s="168">
        <v>78.569999999999993</v>
      </c>
      <c r="K20" s="168">
        <v>1059.8699999999999</v>
      </c>
      <c r="L20" s="168">
        <v>3204.16</v>
      </c>
      <c r="M20" s="168">
        <v>4231.62</v>
      </c>
      <c r="N20" s="167">
        <f t="shared" si="2"/>
        <v>15227.919999999998</v>
      </c>
    </row>
    <row r="21" spans="1:14" x14ac:dyDescent="0.25">
      <c r="A21" s="3" t="s">
        <v>4</v>
      </c>
      <c r="B21" s="165">
        <f>SUM(B14:B20)</f>
        <v>7802.26</v>
      </c>
      <c r="C21" s="165">
        <f t="shared" ref="C21:M21" si="3">SUM(C14:C20)</f>
        <v>7459.1900000000005</v>
      </c>
      <c r="D21" s="165">
        <f t="shared" si="3"/>
        <v>5257.23</v>
      </c>
      <c r="E21" s="165">
        <f t="shared" si="3"/>
        <v>6284.2</v>
      </c>
      <c r="F21" s="165">
        <f t="shared" si="3"/>
        <v>3102.56</v>
      </c>
      <c r="G21" s="165">
        <f t="shared" si="3"/>
        <v>2573.5099999999998</v>
      </c>
      <c r="H21" s="165">
        <f t="shared" si="3"/>
        <v>3164.37</v>
      </c>
      <c r="I21" s="165">
        <f t="shared" si="3"/>
        <v>3497.31</v>
      </c>
      <c r="J21" s="165">
        <f t="shared" si="3"/>
        <v>3668.6</v>
      </c>
      <c r="K21" s="165">
        <f t="shared" si="3"/>
        <v>6417.48</v>
      </c>
      <c r="L21" s="165">
        <f t="shared" si="3"/>
        <v>13789.630000000001</v>
      </c>
      <c r="M21" s="165">
        <f t="shared" si="3"/>
        <v>16932.060000000001</v>
      </c>
      <c r="N21" s="212">
        <f>SUM(N14:N20)</f>
        <v>80882.400000000009</v>
      </c>
    </row>
    <row r="23" spans="1:14" x14ac:dyDescent="0.25">
      <c r="A23" s="4" t="s">
        <v>146</v>
      </c>
      <c r="B23" t="s">
        <v>277</v>
      </c>
      <c r="C23" t="s">
        <v>278</v>
      </c>
      <c r="D23" t="s">
        <v>279</v>
      </c>
      <c r="E23" t="s">
        <v>280</v>
      </c>
      <c r="F23" t="s">
        <v>281</v>
      </c>
      <c r="G23" t="s">
        <v>282</v>
      </c>
      <c r="H23" t="s">
        <v>283</v>
      </c>
      <c r="I23" t="s">
        <v>284</v>
      </c>
      <c r="J23" t="s">
        <v>285</v>
      </c>
      <c r="K23" t="s">
        <v>286</v>
      </c>
      <c r="L23" t="s">
        <v>287</v>
      </c>
      <c r="M23" t="s">
        <v>288</v>
      </c>
      <c r="N23" t="s">
        <v>4</v>
      </c>
    </row>
    <row r="24" spans="1:14" x14ac:dyDescent="0.25">
      <c r="A24" s="3" t="s">
        <v>332</v>
      </c>
      <c r="B24">
        <v>141</v>
      </c>
      <c r="C24">
        <v>150</v>
      </c>
      <c r="D24">
        <v>104</v>
      </c>
      <c r="E24">
        <v>70</v>
      </c>
      <c r="F24">
        <v>9</v>
      </c>
      <c r="G24">
        <v>0</v>
      </c>
      <c r="H24">
        <v>1</v>
      </c>
      <c r="I24">
        <v>0</v>
      </c>
      <c r="J24">
        <v>7</v>
      </c>
      <c r="K24">
        <v>57</v>
      </c>
      <c r="L24">
        <v>114</v>
      </c>
      <c r="M24">
        <v>205</v>
      </c>
      <c r="N24" s="164">
        <f>SUM(B24:M24)</f>
        <v>858</v>
      </c>
    </row>
    <row r="25" spans="1:14" x14ac:dyDescent="0.25">
      <c r="A25" s="3" t="s">
        <v>23</v>
      </c>
      <c r="B25">
        <v>1337</v>
      </c>
      <c r="C25">
        <v>981</v>
      </c>
      <c r="D25">
        <v>663</v>
      </c>
      <c r="E25">
        <v>366</v>
      </c>
      <c r="F25">
        <v>8</v>
      </c>
      <c r="G25">
        <v>0</v>
      </c>
      <c r="H25">
        <v>0</v>
      </c>
      <c r="I25">
        <v>3</v>
      </c>
      <c r="J25">
        <v>16</v>
      </c>
      <c r="K25">
        <v>416</v>
      </c>
      <c r="L25">
        <v>828</v>
      </c>
      <c r="M25">
        <v>1388</v>
      </c>
      <c r="N25" s="164">
        <f>SUM(B25:M25)</f>
        <v>6006</v>
      </c>
    </row>
    <row r="26" spans="1:14" x14ac:dyDescent="0.25">
      <c r="A26" s="3" t="s">
        <v>263</v>
      </c>
      <c r="B26" s="1">
        <v>113</v>
      </c>
      <c r="C26" s="1">
        <v>98</v>
      </c>
      <c r="D26" s="1">
        <v>88</v>
      </c>
      <c r="E26" s="1">
        <v>42</v>
      </c>
      <c r="F26" s="1">
        <v>2</v>
      </c>
      <c r="G26" s="1">
        <v>0</v>
      </c>
      <c r="H26" s="1">
        <v>0</v>
      </c>
      <c r="I26" s="1">
        <v>6</v>
      </c>
      <c r="J26" s="1">
        <v>24</v>
      </c>
      <c r="K26" s="1">
        <v>66</v>
      </c>
      <c r="L26" s="1">
        <v>109</v>
      </c>
      <c r="M26" s="1">
        <v>136</v>
      </c>
      <c r="N26" s="164">
        <v>684</v>
      </c>
    </row>
    <row r="27" spans="1:14" x14ac:dyDescent="0.25">
      <c r="A27" s="3" t="s">
        <v>48</v>
      </c>
      <c r="B27">
        <v>2986</v>
      </c>
      <c r="C27">
        <v>2819</v>
      </c>
      <c r="D27">
        <v>1954</v>
      </c>
      <c r="E27">
        <v>1599</v>
      </c>
      <c r="F27">
        <v>1286</v>
      </c>
      <c r="G27">
        <v>1166</v>
      </c>
      <c r="H27">
        <v>1143</v>
      </c>
      <c r="I27">
        <v>1207</v>
      </c>
      <c r="J27">
        <v>1265</v>
      </c>
      <c r="K27">
        <v>2106</v>
      </c>
      <c r="L27">
        <v>2730</v>
      </c>
      <c r="M27">
        <v>3460</v>
      </c>
      <c r="N27" s="164">
        <f>SUM(B27:M27)</f>
        <v>23721</v>
      </c>
    </row>
    <row r="28" spans="1:14" x14ac:dyDescent="0.25">
      <c r="A28" s="3" t="s">
        <v>57</v>
      </c>
      <c r="B28">
        <v>4215</v>
      </c>
      <c r="C28">
        <v>4403</v>
      </c>
      <c r="D28">
        <v>2980</v>
      </c>
      <c r="E28">
        <v>2271</v>
      </c>
      <c r="F28">
        <v>1107</v>
      </c>
      <c r="G28">
        <v>486</v>
      </c>
      <c r="H28">
        <v>339</v>
      </c>
      <c r="I28">
        <v>364</v>
      </c>
      <c r="J28">
        <v>1038</v>
      </c>
      <c r="K28">
        <v>2572</v>
      </c>
      <c r="L28">
        <v>3132</v>
      </c>
      <c r="M28">
        <v>4681</v>
      </c>
      <c r="N28" s="164">
        <f>SUM(B28:M28)</f>
        <v>27588</v>
      </c>
    </row>
    <row r="29" spans="1:14" x14ac:dyDescent="0.25">
      <c r="A29" s="3" t="s">
        <v>333</v>
      </c>
      <c r="B29">
        <v>3242</v>
      </c>
      <c r="C29">
        <v>2543</v>
      </c>
      <c r="D29">
        <v>1699</v>
      </c>
      <c r="E29">
        <v>1101</v>
      </c>
      <c r="F29">
        <v>203</v>
      </c>
      <c r="G29">
        <v>1</v>
      </c>
      <c r="H29">
        <v>0</v>
      </c>
      <c r="I29">
        <v>6</v>
      </c>
      <c r="J29">
        <v>209</v>
      </c>
      <c r="K29">
        <v>1495</v>
      </c>
      <c r="L29">
        <v>196</v>
      </c>
      <c r="M29">
        <v>3032</v>
      </c>
      <c r="N29" s="164">
        <f>SUM(B29:M29)</f>
        <v>13727</v>
      </c>
    </row>
    <row r="30" spans="1:14" x14ac:dyDescent="0.25">
      <c r="A30" s="3" t="s">
        <v>4</v>
      </c>
      <c r="B30">
        <f>SUM(B24:B29)</f>
        <v>12034</v>
      </c>
      <c r="C30">
        <f t="shared" ref="C30:N30" si="4">SUM(C24:C29)</f>
        <v>10994</v>
      </c>
      <c r="D30">
        <f t="shared" si="4"/>
        <v>7488</v>
      </c>
      <c r="E30">
        <f t="shared" si="4"/>
        <v>5449</v>
      </c>
      <c r="F30">
        <f t="shared" si="4"/>
        <v>2615</v>
      </c>
      <c r="G30">
        <f t="shared" si="4"/>
        <v>1653</v>
      </c>
      <c r="H30">
        <f t="shared" si="4"/>
        <v>1483</v>
      </c>
      <c r="I30">
        <f t="shared" si="4"/>
        <v>1586</v>
      </c>
      <c r="J30">
        <f t="shared" si="4"/>
        <v>2559</v>
      </c>
      <c r="K30">
        <f t="shared" si="4"/>
        <v>6712</v>
      </c>
      <c r="L30">
        <f t="shared" si="4"/>
        <v>7109</v>
      </c>
      <c r="M30">
        <f t="shared" si="4"/>
        <v>12902</v>
      </c>
      <c r="N30" s="164">
        <f t="shared" si="4"/>
        <v>72584</v>
      </c>
    </row>
    <row r="32" spans="1:14" x14ac:dyDescent="0.25">
      <c r="A32" s="157" t="s">
        <v>335</v>
      </c>
    </row>
    <row r="33" spans="1:14" x14ac:dyDescent="0.25">
      <c r="A33" t="s">
        <v>336</v>
      </c>
      <c r="B33" s="165">
        <v>112.2</v>
      </c>
      <c r="C33" s="165">
        <v>114.8</v>
      </c>
      <c r="D33" s="165">
        <v>88.53</v>
      </c>
      <c r="E33" s="165">
        <v>63.95</v>
      </c>
      <c r="F33" s="165">
        <v>32.94</v>
      </c>
      <c r="G33" s="165">
        <v>29</v>
      </c>
      <c r="H33" s="165">
        <v>29.41</v>
      </c>
      <c r="I33" s="165">
        <v>31.68</v>
      </c>
      <c r="J33" s="165">
        <v>32.15</v>
      </c>
      <c r="K33" s="165">
        <v>55.03</v>
      </c>
      <c r="L33" s="165">
        <v>99.6</v>
      </c>
      <c r="M33" s="165">
        <v>154.66</v>
      </c>
      <c r="N33" s="165">
        <f t="shared" ref="N33:N38" si="5">SUM(B33:M33)</f>
        <v>843.94999999999993</v>
      </c>
    </row>
    <row r="34" spans="1:14" x14ac:dyDescent="0.25">
      <c r="A34" s="3" t="s">
        <v>23</v>
      </c>
      <c r="B34" s="165">
        <v>805.68</v>
      </c>
      <c r="C34" s="165">
        <v>594.23</v>
      </c>
      <c r="D34" s="165">
        <v>402.18</v>
      </c>
      <c r="E34" s="165">
        <v>207.98</v>
      </c>
      <c r="F34" s="165">
        <v>32.46</v>
      </c>
      <c r="G34" s="165">
        <v>29</v>
      </c>
      <c r="H34" s="165">
        <v>29</v>
      </c>
      <c r="I34" s="165">
        <v>30.37</v>
      </c>
      <c r="J34" s="165">
        <v>35.869999999999997</v>
      </c>
      <c r="K34" s="165">
        <v>225.26</v>
      </c>
      <c r="L34" s="165">
        <v>542.07000000000005</v>
      </c>
      <c r="M34" s="165">
        <v>875.6</v>
      </c>
      <c r="N34" s="165">
        <f t="shared" si="5"/>
        <v>3809.7</v>
      </c>
    </row>
    <row r="35" spans="1:14" x14ac:dyDescent="0.25">
      <c r="A35" s="3" t="s">
        <v>263</v>
      </c>
      <c r="B35" s="165">
        <v>95.92</v>
      </c>
      <c r="C35" s="165">
        <v>85.01</v>
      </c>
      <c r="D35" s="165">
        <v>79.45</v>
      </c>
      <c r="E35" s="165">
        <v>49.82</v>
      </c>
      <c r="F35" s="165">
        <v>29.86</v>
      </c>
      <c r="G35" s="165">
        <v>29</v>
      </c>
      <c r="H35" s="165">
        <v>29</v>
      </c>
      <c r="I35" s="165">
        <v>31.75</v>
      </c>
      <c r="J35" s="165">
        <v>39.6</v>
      </c>
      <c r="K35" s="165">
        <v>58.75</v>
      </c>
      <c r="L35" s="165">
        <v>96.56</v>
      </c>
      <c r="M35" s="165">
        <v>112.44</v>
      </c>
      <c r="N35" s="165">
        <f t="shared" si="5"/>
        <v>737.16000000000008</v>
      </c>
    </row>
    <row r="36" spans="1:14" x14ac:dyDescent="0.25">
      <c r="A36" s="3" t="s">
        <v>48</v>
      </c>
      <c r="B36" s="165">
        <v>1791.1</v>
      </c>
      <c r="C36" s="168">
        <v>1632.57</v>
      </c>
      <c r="D36" s="165">
        <v>1148.68</v>
      </c>
      <c r="E36" s="165">
        <v>828.25</v>
      </c>
      <c r="F36" s="165">
        <v>591.21</v>
      </c>
      <c r="G36" s="165">
        <v>522.82000000000005</v>
      </c>
      <c r="H36" s="165">
        <v>508.83</v>
      </c>
      <c r="I36" s="165">
        <v>577.19000000000005</v>
      </c>
      <c r="J36" s="165">
        <v>597.87</v>
      </c>
      <c r="K36" s="165">
        <v>982.94</v>
      </c>
      <c r="L36" s="165">
        <v>1719.7</v>
      </c>
      <c r="M36" s="165">
        <v>2150.0300000000002</v>
      </c>
      <c r="N36" s="165">
        <f t="shared" si="5"/>
        <v>13051.190000000002</v>
      </c>
    </row>
    <row r="37" spans="1:14" x14ac:dyDescent="0.25">
      <c r="A37" s="3" t="s">
        <v>57</v>
      </c>
      <c r="B37" s="165">
        <v>2564.89</v>
      </c>
      <c r="C37" s="165">
        <v>2514.5</v>
      </c>
      <c r="D37" s="165">
        <v>1765.02</v>
      </c>
      <c r="E37" s="165">
        <v>1208.08</v>
      </c>
      <c r="F37" s="165">
        <v>515.91999999999996</v>
      </c>
      <c r="G37" s="165">
        <v>235.11</v>
      </c>
      <c r="H37" s="165">
        <v>170.82</v>
      </c>
      <c r="I37" s="165">
        <v>187.07</v>
      </c>
      <c r="J37" s="165">
        <v>502.18</v>
      </c>
      <c r="K37" s="165">
        <v>1167.1099999999999</v>
      </c>
      <c r="L37" s="165">
        <v>1967.19</v>
      </c>
      <c r="M37" s="165">
        <v>2917.32</v>
      </c>
      <c r="N37" s="165">
        <f t="shared" si="5"/>
        <v>15715.210000000001</v>
      </c>
    </row>
    <row r="38" spans="1:14" x14ac:dyDescent="0.25">
      <c r="A38" s="3" t="s">
        <v>333</v>
      </c>
      <c r="B38" s="165">
        <v>1942.18</v>
      </c>
      <c r="C38" s="168">
        <v>1475.57</v>
      </c>
      <c r="D38" s="165">
        <v>1002.56</v>
      </c>
      <c r="E38" s="165">
        <v>579.33000000000004</v>
      </c>
      <c r="F38" s="165">
        <v>117.74</v>
      </c>
      <c r="G38" s="165">
        <v>29.42</v>
      </c>
      <c r="H38" s="165">
        <v>29</v>
      </c>
      <c r="I38" s="165">
        <v>31.72</v>
      </c>
      <c r="J38" s="165">
        <v>122.99</v>
      </c>
      <c r="K38" s="165">
        <v>706.18</v>
      </c>
      <c r="L38" s="165">
        <v>1244.7</v>
      </c>
      <c r="M38" s="165">
        <v>1887.66</v>
      </c>
      <c r="N38" s="165">
        <f t="shared" si="5"/>
        <v>9169.0499999999993</v>
      </c>
    </row>
    <row r="39" spans="1:14" x14ac:dyDescent="0.25">
      <c r="A39" s="3" t="s">
        <v>4</v>
      </c>
      <c r="B39" s="168">
        <f>SUM(B33:B38)</f>
        <v>7311.9699999999993</v>
      </c>
      <c r="C39" s="168">
        <f t="shared" ref="C39:N39" si="6">SUM(C33:C38)</f>
        <v>6416.6799999999994</v>
      </c>
      <c r="D39" s="168">
        <f t="shared" si="6"/>
        <v>4486.42</v>
      </c>
      <c r="E39" s="168">
        <f t="shared" si="6"/>
        <v>2937.41</v>
      </c>
      <c r="F39" s="168">
        <f t="shared" si="6"/>
        <v>1320.1299999999999</v>
      </c>
      <c r="G39" s="168">
        <f t="shared" si="6"/>
        <v>874.35</v>
      </c>
      <c r="H39" s="168">
        <f t="shared" si="6"/>
        <v>796.06</v>
      </c>
      <c r="I39" s="168">
        <f t="shared" si="6"/>
        <v>889.78</v>
      </c>
      <c r="J39" s="168">
        <f t="shared" si="6"/>
        <v>1330.66</v>
      </c>
      <c r="K39" s="168">
        <f t="shared" si="6"/>
        <v>3195.27</v>
      </c>
      <c r="L39" s="168">
        <f t="shared" si="6"/>
        <v>5669.8200000000006</v>
      </c>
      <c r="M39" s="168">
        <f t="shared" si="6"/>
        <v>8097.7100000000009</v>
      </c>
      <c r="N39" s="168">
        <f t="shared" si="6"/>
        <v>43326.259999999995</v>
      </c>
    </row>
    <row r="41" spans="1:14" x14ac:dyDescent="0.25">
      <c r="A41" s="4" t="s">
        <v>337</v>
      </c>
      <c r="B41" t="s">
        <v>277</v>
      </c>
      <c r="C41" t="s">
        <v>278</v>
      </c>
      <c r="D41" t="s">
        <v>279</v>
      </c>
      <c r="E41" t="s">
        <v>280</v>
      </c>
      <c r="F41" t="s">
        <v>281</v>
      </c>
      <c r="G41" t="s">
        <v>282</v>
      </c>
      <c r="H41" t="s">
        <v>283</v>
      </c>
      <c r="I41" t="s">
        <v>284</v>
      </c>
      <c r="J41" t="s">
        <v>285</v>
      </c>
      <c r="K41" t="s">
        <v>286</v>
      </c>
      <c r="L41" t="s">
        <v>287</v>
      </c>
      <c r="M41" t="s">
        <v>288</v>
      </c>
      <c r="N41" t="s">
        <v>181</v>
      </c>
    </row>
    <row r="42" spans="1:14" x14ac:dyDescent="0.25">
      <c r="A42" s="3">
        <v>2021</v>
      </c>
      <c r="B42" s="169">
        <v>0.59334500000000001</v>
      </c>
      <c r="C42" s="169">
        <v>0.59293700000000005</v>
      </c>
      <c r="D42" s="169">
        <v>0.75225699999999995</v>
      </c>
      <c r="E42" s="169">
        <v>1.0775939999999999</v>
      </c>
      <c r="F42" s="169">
        <v>1.0428299999999999</v>
      </c>
      <c r="G42" s="169">
        <v>1.068425</v>
      </c>
      <c r="H42" s="169">
        <v>1.115507</v>
      </c>
      <c r="I42" s="169">
        <v>1.1731670000000001</v>
      </c>
      <c r="J42" s="169">
        <v>1.208995</v>
      </c>
      <c r="K42" s="169">
        <v>1.3439190000000001</v>
      </c>
      <c r="L42" s="169">
        <v>1.3877489999999999</v>
      </c>
      <c r="M42" s="169">
        <v>1.17134</v>
      </c>
      <c r="N42" s="169">
        <f>AVERAGE(B42:M42)</f>
        <v>1.0440054166666666</v>
      </c>
    </row>
    <row r="43" spans="1:14" x14ac:dyDescent="0.25">
      <c r="A43">
        <v>2020</v>
      </c>
      <c r="B43" s="169">
        <v>0.59012100000000001</v>
      </c>
      <c r="C43" s="169">
        <v>0.56884400000000002</v>
      </c>
      <c r="D43" s="169">
        <v>0.573021</v>
      </c>
      <c r="E43" s="169">
        <v>0.49984299999999998</v>
      </c>
      <c r="F43" s="169">
        <v>0.43717899999999998</v>
      </c>
      <c r="G43" s="169">
        <v>0.423516</v>
      </c>
      <c r="H43" s="169">
        <v>0.41979499999999997</v>
      </c>
      <c r="I43" s="169">
        <v>0.454179</v>
      </c>
      <c r="J43" s="169">
        <v>0.44969900000000002</v>
      </c>
      <c r="K43" s="169">
        <v>0.45296500000000001</v>
      </c>
      <c r="L43" s="169">
        <v>0.61930300000000005</v>
      </c>
      <c r="M43" s="169">
        <v>0.61301300000000003</v>
      </c>
      <c r="N43" s="169">
        <f>AVERAGE(B43:M43)</f>
        <v>0.50845649999999998</v>
      </c>
    </row>
    <row r="44" spans="1:14" x14ac:dyDescent="0.25">
      <c r="A44">
        <v>2019</v>
      </c>
      <c r="B44" s="169">
        <v>0.67561099999999996</v>
      </c>
      <c r="C44" s="169">
        <v>0.60801499999999997</v>
      </c>
      <c r="D44" s="169">
        <v>0.59202100000000002</v>
      </c>
      <c r="E44" s="169">
        <v>0.56552400000000003</v>
      </c>
      <c r="F44" s="169">
        <v>0.48159600000000002</v>
      </c>
      <c r="G44" s="169">
        <v>0.48159600000000002</v>
      </c>
      <c r="H44" s="169">
        <v>0.48159600000000002</v>
      </c>
      <c r="I44" s="169">
        <v>0.48159600000000002</v>
      </c>
      <c r="J44" s="169">
        <v>0.48159600000000002</v>
      </c>
      <c r="K44" s="169">
        <v>0.53441799999999995</v>
      </c>
      <c r="L44" s="169">
        <v>0.62539800000000001</v>
      </c>
      <c r="M44" s="169">
        <v>0.83319799999999999</v>
      </c>
      <c r="N44" s="169">
        <f>AVERAGE(B44:M44)</f>
        <v>0.57018041666666663</v>
      </c>
    </row>
    <row r="46" spans="1:14" x14ac:dyDescent="0.25">
      <c r="A46" s="4" t="s">
        <v>325</v>
      </c>
      <c r="B46" t="s">
        <v>277</v>
      </c>
      <c r="C46" t="s">
        <v>278</v>
      </c>
      <c r="D46" t="s">
        <v>326</v>
      </c>
      <c r="E46" t="s">
        <v>327</v>
      </c>
      <c r="F46" t="s">
        <v>281</v>
      </c>
      <c r="G46" t="s">
        <v>328</v>
      </c>
      <c r="H46" t="s">
        <v>329</v>
      </c>
      <c r="I46" t="s">
        <v>330</v>
      </c>
      <c r="J46" t="s">
        <v>331</v>
      </c>
      <c r="K46" t="s">
        <v>286</v>
      </c>
      <c r="L46" t="s">
        <v>287</v>
      </c>
      <c r="M46" t="s">
        <v>288</v>
      </c>
      <c r="N46" t="s">
        <v>181</v>
      </c>
    </row>
    <row r="47" spans="1:14" x14ac:dyDescent="0.25">
      <c r="A47">
        <v>2021</v>
      </c>
      <c r="B47" s="169">
        <v>0.39274500000000001</v>
      </c>
      <c r="C47" s="169">
        <v>0.39233699999999999</v>
      </c>
      <c r="D47" s="169">
        <v>0.55165699999999995</v>
      </c>
      <c r="E47" s="169">
        <v>0.87699400000000005</v>
      </c>
      <c r="F47" s="169">
        <v>0.84223000000000003</v>
      </c>
      <c r="G47" s="169">
        <v>0.86782499999999996</v>
      </c>
      <c r="H47" s="169">
        <v>0.91490700000000003</v>
      </c>
      <c r="I47" s="169">
        <v>0.97256699999999996</v>
      </c>
      <c r="J47" s="169">
        <v>1.0083949999999999</v>
      </c>
      <c r="K47" s="169">
        <v>1.143319</v>
      </c>
      <c r="L47" s="169">
        <v>1.187149</v>
      </c>
      <c r="M47" s="169">
        <v>0.92234000000000005</v>
      </c>
      <c r="N47" s="169">
        <f t="shared" ref="N47:N49" si="7">AVERAGE(B47:M47)</f>
        <v>0.83937208333333346</v>
      </c>
    </row>
    <row r="48" spans="1:14" x14ac:dyDescent="0.25">
      <c r="A48">
        <v>2020</v>
      </c>
      <c r="B48" s="169">
        <v>0.38952100000000001</v>
      </c>
      <c r="C48" s="169">
        <v>0.36824400000000002</v>
      </c>
      <c r="D48" s="169">
        <v>0.372421</v>
      </c>
      <c r="E48" s="169">
        <v>0.29924299999999998</v>
      </c>
      <c r="F48" s="169">
        <v>0.23657900000000001</v>
      </c>
      <c r="G48" s="169">
        <v>0.222916</v>
      </c>
      <c r="H48" s="169">
        <v>0.219195</v>
      </c>
      <c r="I48" s="169">
        <v>0.253579</v>
      </c>
      <c r="J48" s="169">
        <v>0.24909899999999999</v>
      </c>
      <c r="K48" s="169">
        <v>0.25236500000000001</v>
      </c>
      <c r="L48" s="169">
        <v>0.41870299999999999</v>
      </c>
      <c r="M48" s="169">
        <v>0.41241299999999997</v>
      </c>
      <c r="N48" s="169">
        <f t="shared" si="7"/>
        <v>0.30785650000000003</v>
      </c>
    </row>
    <row r="49" spans="1:14" x14ac:dyDescent="0.25">
      <c r="A49">
        <v>2019</v>
      </c>
      <c r="B49" s="169">
        <v>0.471111</v>
      </c>
      <c r="C49" s="169">
        <v>0.38351499999999999</v>
      </c>
      <c r="D49" s="169">
        <v>0.36752099999999999</v>
      </c>
      <c r="E49" s="169">
        <v>0.34102399999999999</v>
      </c>
      <c r="F49" s="169">
        <v>0.25709599999999999</v>
      </c>
      <c r="G49" s="169">
        <v>0.24490300000000001</v>
      </c>
      <c r="H49" s="169">
        <v>0.227599</v>
      </c>
      <c r="I49" s="169">
        <v>0.235846</v>
      </c>
      <c r="J49" s="169">
        <v>0.25772099999999998</v>
      </c>
      <c r="K49" s="169">
        <v>0.30991800000000003</v>
      </c>
      <c r="L49" s="169">
        <v>0.40089799999999998</v>
      </c>
      <c r="M49" s="169">
        <v>0.40809800000000002</v>
      </c>
      <c r="N49" s="169">
        <f t="shared" si="7"/>
        <v>0.32543750000000005</v>
      </c>
    </row>
    <row r="51" spans="1:14" x14ac:dyDescent="0.25">
      <c r="A51" s="4" t="s">
        <v>338</v>
      </c>
    </row>
    <row r="52" spans="1:14" x14ac:dyDescent="0.25">
      <c r="A52">
        <v>2020</v>
      </c>
      <c r="B52">
        <v>1383</v>
      </c>
      <c r="C52">
        <v>1340</v>
      </c>
      <c r="D52">
        <v>1058</v>
      </c>
      <c r="E52">
        <v>846</v>
      </c>
      <c r="F52">
        <v>260</v>
      </c>
      <c r="J52">
        <v>414</v>
      </c>
      <c r="K52">
        <v>801</v>
      </c>
      <c r="L52">
        <v>1113</v>
      </c>
      <c r="M52">
        <v>1531</v>
      </c>
      <c r="N52">
        <f>SUM(B52:M52)</f>
        <v>8746</v>
      </c>
    </row>
    <row r="53" spans="1:14" x14ac:dyDescent="0.25">
      <c r="A53">
        <v>2019</v>
      </c>
      <c r="B53">
        <v>1773</v>
      </c>
      <c r="C53">
        <v>1615</v>
      </c>
      <c r="D53">
        <v>988</v>
      </c>
      <c r="E53">
        <v>778</v>
      </c>
      <c r="F53">
        <v>383</v>
      </c>
      <c r="J53">
        <v>261</v>
      </c>
      <c r="K53">
        <v>946</v>
      </c>
      <c r="L53">
        <v>1364</v>
      </c>
      <c r="M53">
        <v>1601</v>
      </c>
      <c r="N53">
        <f>SUM(B53:M53)</f>
        <v>9709</v>
      </c>
    </row>
    <row r="55" spans="1:14" x14ac:dyDescent="0.25">
      <c r="A55" s="4" t="s">
        <v>339</v>
      </c>
    </row>
    <row r="56" spans="1:14" x14ac:dyDescent="0.25">
      <c r="A56" t="s">
        <v>340</v>
      </c>
      <c r="B56" s="2">
        <f>-(1-B47/B48)</f>
        <v>8.2768323145607781E-3</v>
      </c>
      <c r="C56" s="2">
        <f t="shared" ref="C56:N56" si="8">-(1-C47/C48)</f>
        <v>6.5426727930393946E-2</v>
      </c>
      <c r="D56" s="2">
        <f t="shared" si="8"/>
        <v>0.48127253833698935</v>
      </c>
      <c r="E56" s="2">
        <f t="shared" si="8"/>
        <v>1.9307084877507581</v>
      </c>
      <c r="F56" s="2">
        <f t="shared" si="8"/>
        <v>2.5600370278004387</v>
      </c>
      <c r="G56" s="2">
        <f t="shared" si="8"/>
        <v>2.8930583717633547</v>
      </c>
      <c r="H56" s="2">
        <f t="shared" si="8"/>
        <v>3.1739410114281803</v>
      </c>
      <c r="I56" s="2">
        <f t="shared" si="8"/>
        <v>2.8353609723202631</v>
      </c>
      <c r="J56" s="2">
        <f t="shared" si="8"/>
        <v>3.0481696032501135</v>
      </c>
      <c r="K56" s="2">
        <f t="shared" si="8"/>
        <v>3.5304182434172722</v>
      </c>
      <c r="L56" s="2">
        <f t="shared" si="8"/>
        <v>1.8353009173566943</v>
      </c>
      <c r="M56" s="2">
        <f t="shared" si="8"/>
        <v>1.2364474446731797</v>
      </c>
      <c r="N56" s="153">
        <f t="shared" si="8"/>
        <v>1.7265043399549249</v>
      </c>
    </row>
    <row r="57" spans="1:14" x14ac:dyDescent="0.25">
      <c r="A57" t="s">
        <v>341</v>
      </c>
    </row>
    <row r="58" spans="1:14" x14ac:dyDescent="0.25">
      <c r="A58" t="s">
        <v>342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0C0CC-C33A-41E9-B3C8-9F704DA9BB81}">
  <dimension ref="A1"/>
  <sheetViews>
    <sheetView workbookViewId="0">
      <selection activeCell="J36" sqref="J36"/>
    </sheetView>
  </sheetViews>
  <sheetFormatPr defaultRowHeight="15" x14ac:dyDescent="0.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30B18-21B2-4E2C-92E9-3EA21902A685}">
  <dimension ref="A1:G5"/>
  <sheetViews>
    <sheetView workbookViewId="0">
      <selection activeCell="B3" sqref="B3"/>
    </sheetView>
  </sheetViews>
  <sheetFormatPr defaultRowHeight="15" x14ac:dyDescent="0.25"/>
  <cols>
    <col min="1" max="1" width="17.7109375" customWidth="1"/>
  </cols>
  <sheetData>
    <row r="1" spans="1:7" ht="15.75" x14ac:dyDescent="0.25">
      <c r="A1" s="250" t="s">
        <v>174</v>
      </c>
      <c r="B1" s="250"/>
      <c r="C1" s="250"/>
      <c r="D1" s="250"/>
      <c r="E1" s="250"/>
      <c r="F1" s="250"/>
    </row>
    <row r="2" spans="1:7" x14ac:dyDescent="0.25">
      <c r="B2">
        <v>2021</v>
      </c>
      <c r="C2">
        <v>2020</v>
      </c>
      <c r="D2">
        <v>2019</v>
      </c>
      <c r="E2">
        <v>2018</v>
      </c>
      <c r="F2">
        <v>2017</v>
      </c>
      <c r="G2">
        <v>2016</v>
      </c>
    </row>
    <row r="3" spans="1:7" x14ac:dyDescent="0.25">
      <c r="A3" t="s">
        <v>133</v>
      </c>
      <c r="B3" s="8">
        <v>16803</v>
      </c>
      <c r="C3" s="8">
        <v>14649</v>
      </c>
      <c r="D3" s="24">
        <v>19151</v>
      </c>
      <c r="E3" s="24">
        <v>16264</v>
      </c>
      <c r="F3" s="24">
        <v>11948</v>
      </c>
      <c r="G3" s="24">
        <v>9676</v>
      </c>
    </row>
    <row r="4" spans="1:7" x14ac:dyDescent="0.25">
      <c r="A4" t="s">
        <v>134</v>
      </c>
      <c r="B4" s="27">
        <f>B3/B5</f>
        <v>1.1271885691285972</v>
      </c>
      <c r="C4" s="27">
        <f>C3/C5</f>
        <v>0.95358677255565683</v>
      </c>
      <c r="D4" s="27">
        <v>1.149</v>
      </c>
      <c r="E4" s="27">
        <v>0.92</v>
      </c>
      <c r="F4" s="27">
        <v>0.78500000000000003</v>
      </c>
      <c r="G4" s="27">
        <v>0.92</v>
      </c>
    </row>
    <row r="5" spans="1:7" x14ac:dyDescent="0.25">
      <c r="A5" t="s">
        <v>135</v>
      </c>
      <c r="B5" s="10">
        <v>14907</v>
      </c>
      <c r="C5" s="10">
        <v>15362</v>
      </c>
      <c r="D5" s="10">
        <f t="shared" ref="D5" si="0">D3/D4</f>
        <v>16667.536988685813</v>
      </c>
      <c r="E5" s="10">
        <f>E3/E4</f>
        <v>17678.260869565216</v>
      </c>
      <c r="F5" s="10">
        <f>F3/F4</f>
        <v>15220.382165605095</v>
      </c>
      <c r="G5" s="10">
        <f>G3/G4</f>
        <v>10517.391304347826</v>
      </c>
    </row>
  </sheetData>
  <mergeCells count="1">
    <mergeCell ref="A1:F1"/>
  </mergeCells>
  <printOptions gridLines="1"/>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EFEF3-C155-4773-B528-CCB550AA6A1E}">
  <sheetPr>
    <pageSetUpPr fitToPage="1"/>
  </sheetPr>
  <dimension ref="A1:P21"/>
  <sheetViews>
    <sheetView workbookViewId="0">
      <selection activeCell="B9" sqref="B9"/>
    </sheetView>
  </sheetViews>
  <sheetFormatPr defaultRowHeight="15" x14ac:dyDescent="0.25"/>
  <cols>
    <col min="1" max="1" width="23.28515625" customWidth="1"/>
    <col min="2" max="2" width="8.85546875" customWidth="1"/>
    <col min="3" max="3" width="10.28515625" customWidth="1"/>
    <col min="5" max="5" width="10.5703125" customWidth="1"/>
    <col min="9" max="9" width="10.5703125" bestFit="1" customWidth="1"/>
    <col min="10" max="10" width="10.5703125" customWidth="1"/>
    <col min="11" max="11" width="10.5703125" bestFit="1" customWidth="1"/>
    <col min="12" max="12" width="12.28515625" customWidth="1"/>
    <col min="13" max="13" width="12.42578125" customWidth="1"/>
    <col min="14" max="14" width="12.28515625" customWidth="1"/>
    <col min="15" max="15" width="11.5703125" customWidth="1"/>
  </cols>
  <sheetData>
    <row r="1" spans="1:16" ht="18.75" x14ac:dyDescent="0.3">
      <c r="A1" s="248" t="s">
        <v>111</v>
      </c>
      <c r="B1" s="248"/>
      <c r="C1" s="248"/>
      <c r="D1" s="248"/>
      <c r="E1" s="248"/>
      <c r="F1" s="248"/>
      <c r="G1" s="248"/>
      <c r="H1" s="248"/>
      <c r="I1" s="248"/>
      <c r="J1" s="248"/>
      <c r="K1" s="248"/>
      <c r="L1" s="248"/>
      <c r="M1" s="248"/>
    </row>
    <row r="2" spans="1:16" ht="45" x14ac:dyDescent="0.25">
      <c r="A2" s="4" t="s">
        <v>73</v>
      </c>
      <c r="B2" s="157" t="s">
        <v>396</v>
      </c>
      <c r="C2" s="4" t="s">
        <v>313</v>
      </c>
      <c r="D2" s="130" t="s">
        <v>149</v>
      </c>
      <c r="E2" s="130" t="s">
        <v>150</v>
      </c>
      <c r="F2" s="3" t="s">
        <v>76</v>
      </c>
      <c r="G2" t="s">
        <v>79</v>
      </c>
      <c r="H2" s="107" t="s">
        <v>75</v>
      </c>
      <c r="I2" s="108" t="s">
        <v>78</v>
      </c>
      <c r="J2" s="3" t="s">
        <v>74</v>
      </c>
      <c r="K2" t="s">
        <v>77</v>
      </c>
      <c r="L2" s="3" t="s">
        <v>314</v>
      </c>
      <c r="M2" s="3" t="s">
        <v>151</v>
      </c>
      <c r="N2" s="3" t="s">
        <v>95</v>
      </c>
      <c r="O2" s="3" t="s">
        <v>94</v>
      </c>
      <c r="P2" s="3" t="s">
        <v>93</v>
      </c>
    </row>
    <row r="3" spans="1:16" x14ac:dyDescent="0.25">
      <c r="A3" t="s">
        <v>81</v>
      </c>
      <c r="B3" s="15">
        <v>51520</v>
      </c>
      <c r="C3" s="8">
        <v>142030</v>
      </c>
      <c r="D3" s="239">
        <v>57844</v>
      </c>
      <c r="E3" s="117">
        <v>135711</v>
      </c>
      <c r="F3" s="10">
        <v>69218</v>
      </c>
      <c r="G3" s="5">
        <v>172275</v>
      </c>
      <c r="H3" s="116">
        <v>65287</v>
      </c>
      <c r="I3" s="117">
        <v>166321</v>
      </c>
      <c r="J3" s="10">
        <v>77534</v>
      </c>
      <c r="K3" s="5">
        <v>167411</v>
      </c>
      <c r="L3" s="106">
        <f>C3/B3</f>
        <v>2.7567934782608696</v>
      </c>
      <c r="M3" s="106">
        <f>E3/D3</f>
        <v>2.3461551759905954</v>
      </c>
      <c r="N3" s="9">
        <f>G3/F3</f>
        <v>2.4888757259672341</v>
      </c>
      <c r="O3" s="9">
        <f>I3/H3</f>
        <v>2.5475362629619984</v>
      </c>
      <c r="P3" s="9">
        <f>K3/J3</f>
        <v>2.1591946758841281</v>
      </c>
    </row>
    <row r="4" spans="1:16" x14ac:dyDescent="0.25">
      <c r="A4" t="s">
        <v>80</v>
      </c>
      <c r="B4" s="15">
        <v>13263</v>
      </c>
      <c r="C4" s="8">
        <v>33073</v>
      </c>
      <c r="D4" s="239">
        <v>12127</v>
      </c>
      <c r="E4" s="117">
        <v>18246</v>
      </c>
      <c r="F4" s="10">
        <v>10349</v>
      </c>
      <c r="G4" s="5">
        <v>21727</v>
      </c>
      <c r="H4" s="116">
        <v>10296</v>
      </c>
      <c r="I4" s="117">
        <v>25821</v>
      </c>
      <c r="J4" s="10">
        <v>13922</v>
      </c>
      <c r="K4" s="5">
        <v>31156</v>
      </c>
      <c r="L4" s="106">
        <f>C4/B4</f>
        <v>2.4936288924074494</v>
      </c>
      <c r="M4" s="106">
        <f>E4/D4</f>
        <v>1.5045765646903604</v>
      </c>
      <c r="N4" s="9">
        <f>G4/F4</f>
        <v>2.0994298966083678</v>
      </c>
      <c r="O4" s="9">
        <f>I4/H4</f>
        <v>2.5078671328671329</v>
      </c>
      <c r="P4" s="9">
        <f>K4/J4</f>
        <v>2.2378968539003017</v>
      </c>
    </row>
    <row r="5" spans="1:16" x14ac:dyDescent="0.25">
      <c r="C5" s="8"/>
      <c r="D5" s="108"/>
      <c r="E5" s="108"/>
      <c r="H5" s="108"/>
      <c r="I5" s="108"/>
    </row>
    <row r="6" spans="1:16" x14ac:dyDescent="0.25">
      <c r="A6" s="4" t="s">
        <v>82</v>
      </c>
      <c r="B6" s="4"/>
      <c r="C6" s="8"/>
      <c r="D6" s="131"/>
      <c r="E6" s="131"/>
      <c r="H6" s="108"/>
      <c r="I6" s="108"/>
    </row>
    <row r="7" spans="1:16" x14ac:dyDescent="0.25">
      <c r="A7" t="s">
        <v>80</v>
      </c>
      <c r="B7" s="15">
        <v>21375</v>
      </c>
      <c r="C7" s="8">
        <f>B7*L4</f>
        <v>53301.317575209228</v>
      </c>
      <c r="D7" s="108">
        <v>21106</v>
      </c>
      <c r="E7" s="117">
        <f>D7*M4</f>
        <v>31755.592974354746</v>
      </c>
      <c r="F7" s="10">
        <v>24130</v>
      </c>
      <c r="G7" s="5">
        <f>F7*N4</f>
        <v>50659.243405159912</v>
      </c>
      <c r="H7" s="116">
        <v>22636</v>
      </c>
      <c r="I7" s="117">
        <f>H7*O4</f>
        <v>56768.080419580423</v>
      </c>
      <c r="J7" s="10">
        <v>22420</v>
      </c>
      <c r="K7" s="5">
        <f>J7*P4</f>
        <v>50173.647464444766</v>
      </c>
      <c r="L7" s="5"/>
    </row>
    <row r="8" spans="1:16" x14ac:dyDescent="0.25">
      <c r="C8" s="8"/>
      <c r="D8" s="108"/>
      <c r="E8" s="108"/>
      <c r="H8" s="108"/>
      <c r="I8" s="108"/>
    </row>
    <row r="9" spans="1:16" x14ac:dyDescent="0.25">
      <c r="A9" t="s">
        <v>92</v>
      </c>
      <c r="B9">
        <v>5677</v>
      </c>
      <c r="C9" s="8"/>
      <c r="D9" s="108">
        <v>4771</v>
      </c>
      <c r="E9" s="108"/>
      <c r="F9">
        <v>3811</v>
      </c>
      <c r="G9" s="21"/>
      <c r="H9" s="108">
        <v>2879</v>
      </c>
      <c r="I9" s="134"/>
      <c r="J9">
        <v>3002</v>
      </c>
      <c r="K9" s="20"/>
      <c r="L9" s="20"/>
    </row>
    <row r="10" spans="1:16" x14ac:dyDescent="0.25">
      <c r="A10" t="s">
        <v>106</v>
      </c>
      <c r="B10" s="1">
        <f>B9*B19</f>
        <v>7090.6638677512465</v>
      </c>
      <c r="C10" s="8">
        <f>B10*'2021 Nat. Gas Entry Form'!N47</f>
        <v>5951.7053028907558</v>
      </c>
      <c r="D10" s="111">
        <f>D9*B19</f>
        <v>5959.0553660456571</v>
      </c>
      <c r="E10" s="117">
        <f>D10*0.5952</f>
        <v>3546.829753870375</v>
      </c>
      <c r="F10">
        <v>4760</v>
      </c>
      <c r="G10" s="5">
        <f>F10*0.5952</f>
        <v>2833.1519999999996</v>
      </c>
      <c r="H10" s="108">
        <v>3596</v>
      </c>
      <c r="I10" s="117">
        <f>H10*0.666</f>
        <v>2394.9360000000001</v>
      </c>
      <c r="J10" s="16">
        <v>3750</v>
      </c>
      <c r="K10" s="5">
        <f>J10*0.628</f>
        <v>2355</v>
      </c>
      <c r="L10" s="5"/>
    </row>
    <row r="11" spans="1:16" x14ac:dyDescent="0.25">
      <c r="C11" s="152"/>
      <c r="D11" s="108"/>
      <c r="E11" s="108"/>
      <c r="H11" s="108"/>
      <c r="I11" s="108"/>
      <c r="J11" s="16"/>
    </row>
    <row r="12" spans="1:16" x14ac:dyDescent="0.25">
      <c r="A12" t="s">
        <v>97</v>
      </c>
      <c r="B12" s="10">
        <f>B3</f>
        <v>51520</v>
      </c>
      <c r="C12" s="8">
        <f>C3</f>
        <v>142030</v>
      </c>
      <c r="D12" s="132">
        <f t="shared" ref="D12:K12" si="0">D3</f>
        <v>57844</v>
      </c>
      <c r="E12" s="133">
        <f>E3</f>
        <v>135711</v>
      </c>
      <c r="F12" s="17">
        <f t="shared" si="0"/>
        <v>69218</v>
      </c>
      <c r="G12" s="18">
        <f>G3</f>
        <v>172275</v>
      </c>
      <c r="H12" s="132">
        <f>H3</f>
        <v>65287</v>
      </c>
      <c r="I12" s="133">
        <f>I3</f>
        <v>166321</v>
      </c>
      <c r="J12" s="17">
        <f>J3</f>
        <v>77534</v>
      </c>
      <c r="K12" s="18">
        <f t="shared" si="0"/>
        <v>167411</v>
      </c>
      <c r="L12" s="18"/>
    </row>
    <row r="13" spans="1:16" x14ac:dyDescent="0.25">
      <c r="A13" t="s">
        <v>96</v>
      </c>
      <c r="B13" s="233">
        <f t="shared" ref="B13:D13" si="1">SUM(B4:B9)</f>
        <v>40315</v>
      </c>
      <c r="C13" s="234">
        <f>SUM(C4:C9)</f>
        <v>86374.317575209221</v>
      </c>
      <c r="D13" s="132">
        <f t="shared" si="1"/>
        <v>38004</v>
      </c>
      <c r="E13" s="133">
        <f>SUM(E4:E9)</f>
        <v>50001.592974354746</v>
      </c>
      <c r="F13" s="17">
        <f t="shared" ref="F13:K13" si="2">F4+F7</f>
        <v>34479</v>
      </c>
      <c r="G13" s="18">
        <f t="shared" si="2"/>
        <v>72386.243405159912</v>
      </c>
      <c r="H13" s="132">
        <f t="shared" si="2"/>
        <v>32932</v>
      </c>
      <c r="I13" s="133">
        <f t="shared" si="2"/>
        <v>82589.080419580423</v>
      </c>
      <c r="J13" s="17">
        <f t="shared" si="2"/>
        <v>36342</v>
      </c>
      <c r="K13" s="18">
        <f t="shared" si="2"/>
        <v>81329.647464444774</v>
      </c>
      <c r="L13" s="18"/>
      <c r="O13" s="18"/>
    </row>
    <row r="14" spans="1:16" x14ac:dyDescent="0.25">
      <c r="A14" t="s">
        <v>92</v>
      </c>
      <c r="B14" s="233">
        <f>B9</f>
        <v>5677</v>
      </c>
      <c r="C14" s="234">
        <f>C10</f>
        <v>5951.7053028907558</v>
      </c>
      <c r="D14" s="132">
        <f>D9</f>
        <v>4771</v>
      </c>
      <c r="E14" s="133">
        <f>E10</f>
        <v>3546.829753870375</v>
      </c>
      <c r="F14" s="17">
        <f>F9</f>
        <v>3811</v>
      </c>
      <c r="G14" s="18">
        <f>G10</f>
        <v>2833.1519999999996</v>
      </c>
      <c r="H14" s="132">
        <f>H9</f>
        <v>2879</v>
      </c>
      <c r="I14" s="133">
        <f>I10</f>
        <v>2394.9360000000001</v>
      </c>
      <c r="J14" s="17">
        <f>J9</f>
        <v>3002</v>
      </c>
      <c r="K14" s="18">
        <f>K10</f>
        <v>2355</v>
      </c>
      <c r="L14" s="18"/>
      <c r="O14" s="18"/>
    </row>
    <row r="15" spans="1:16" x14ac:dyDescent="0.25">
      <c r="A15" t="s">
        <v>4</v>
      </c>
      <c r="B15" s="233">
        <f t="shared" ref="B15" si="3">SUM(B12:B14)</f>
        <v>97512</v>
      </c>
      <c r="C15" s="8">
        <f>SUM(C12:C14)</f>
        <v>234356.02287809999</v>
      </c>
      <c r="D15" s="132">
        <f t="shared" ref="D15:K15" si="4">SUM(D12:D14)</f>
        <v>100619</v>
      </c>
      <c r="E15" s="8">
        <f>SUM(E12:E14)</f>
        <v>189259.42272822512</v>
      </c>
      <c r="F15" s="17">
        <f t="shared" si="4"/>
        <v>107508</v>
      </c>
      <c r="G15" s="18">
        <f>SUM(G12:G14)</f>
        <v>247494.39540515991</v>
      </c>
      <c r="H15" s="132">
        <f>SUM(H12:H14)</f>
        <v>101098</v>
      </c>
      <c r="I15" s="133">
        <f>SUM(I12:I14)</f>
        <v>251305.01641958041</v>
      </c>
      <c r="J15" s="17">
        <f>SUM(J12:J14)</f>
        <v>116878</v>
      </c>
      <c r="K15" s="18">
        <f t="shared" si="4"/>
        <v>251095.64746444477</v>
      </c>
      <c r="L15" s="17"/>
    </row>
    <row r="17" spans="1:3" x14ac:dyDescent="0.25">
      <c r="B17" t="s">
        <v>259</v>
      </c>
    </row>
    <row r="18" spans="1:3" x14ac:dyDescent="0.25">
      <c r="A18" t="s">
        <v>257</v>
      </c>
      <c r="B18">
        <f>F9/F10</f>
        <v>0.80063025210084038</v>
      </c>
    </row>
    <row r="19" spans="1:3" x14ac:dyDescent="0.25">
      <c r="A19" t="s">
        <v>258</v>
      </c>
      <c r="B19">
        <f>F10/F9</f>
        <v>1.2490160062975597</v>
      </c>
    </row>
    <row r="21" spans="1:3" x14ac:dyDescent="0.25">
      <c r="A21" t="s">
        <v>394</v>
      </c>
      <c r="B21" s="240"/>
      <c r="C21" t="s">
        <v>395</v>
      </c>
    </row>
  </sheetData>
  <mergeCells count="1">
    <mergeCell ref="A1:M1"/>
  </mergeCells>
  <printOptions gridLines="1"/>
  <pageMargins left="0.7" right="0.7" top="0.75" bottom="0.75" header="0.3" footer="0.3"/>
  <pageSetup scale="8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F7DE5-E4E2-44A0-B4DE-3FA4D24E9171}">
  <sheetPr>
    <pageSetUpPr fitToPage="1"/>
  </sheetPr>
  <dimension ref="A1:V72"/>
  <sheetViews>
    <sheetView zoomScaleNormal="100" workbookViewId="0">
      <selection activeCell="L9" sqref="L9"/>
    </sheetView>
  </sheetViews>
  <sheetFormatPr defaultRowHeight="15" x14ac:dyDescent="0.25"/>
  <cols>
    <col min="1" max="1" width="28.28515625" customWidth="1"/>
    <col min="2" max="2" width="8.42578125" customWidth="1"/>
    <col min="3" max="3" width="9.5703125" customWidth="1"/>
    <col min="4" max="4" width="10.85546875" customWidth="1"/>
    <col min="5" max="5" width="12.5703125" customWidth="1"/>
    <col min="6" max="6" width="11.140625" customWidth="1"/>
    <col min="7" max="7" width="11.28515625" customWidth="1"/>
    <col min="8" max="8" width="11.5703125" customWidth="1"/>
    <col min="9" max="9" width="12.140625" customWidth="1"/>
    <col min="11" max="11" width="10.5703125" customWidth="1"/>
    <col min="13" max="13" width="11.5703125" bestFit="1" customWidth="1"/>
  </cols>
  <sheetData>
    <row r="1" spans="1:22" ht="18.75" x14ac:dyDescent="0.3">
      <c r="A1" s="158" t="s">
        <v>155</v>
      </c>
      <c r="B1" s="159"/>
      <c r="C1" s="159"/>
      <c r="D1" s="159"/>
      <c r="E1" s="159"/>
      <c r="F1" s="159"/>
      <c r="G1" s="159"/>
      <c r="H1" s="159"/>
      <c r="I1" s="159"/>
    </row>
    <row r="2" spans="1:22" ht="14.45" customHeight="1" x14ac:dyDescent="0.25">
      <c r="A2" s="227" t="s">
        <v>197</v>
      </c>
      <c r="B2" s="72"/>
      <c r="C2" s="72"/>
      <c r="D2" s="72"/>
      <c r="E2" s="72"/>
      <c r="F2" s="72"/>
      <c r="G2" s="72"/>
      <c r="H2" s="72"/>
      <c r="I2" s="72"/>
      <c r="J2" s="48"/>
      <c r="T2" s="72"/>
    </row>
    <row r="3" spans="1:22" ht="14.45" customHeight="1" x14ac:dyDescent="0.25">
      <c r="A3" s="255">
        <v>2021</v>
      </c>
      <c r="B3" s="256"/>
      <c r="C3" s="256"/>
      <c r="D3" s="256"/>
      <c r="E3" s="256"/>
      <c r="F3" s="256"/>
      <c r="G3" s="256"/>
      <c r="H3" s="256"/>
      <c r="I3" s="256"/>
      <c r="J3" s="256"/>
      <c r="K3" s="257"/>
      <c r="T3" s="72"/>
    </row>
    <row r="4" spans="1:22" ht="61.9" customHeight="1" x14ac:dyDescent="0.25">
      <c r="A4" s="99" t="s">
        <v>212</v>
      </c>
      <c r="B4" s="175" t="s">
        <v>6</v>
      </c>
      <c r="C4" s="176" t="s">
        <v>315</v>
      </c>
      <c r="D4" s="176" t="s">
        <v>316</v>
      </c>
      <c r="E4" s="176" t="s">
        <v>354</v>
      </c>
      <c r="F4" s="176" t="s">
        <v>320</v>
      </c>
      <c r="G4" s="176" t="s">
        <v>344</v>
      </c>
      <c r="H4" s="176" t="s">
        <v>369</v>
      </c>
      <c r="I4" s="176" t="s">
        <v>30</v>
      </c>
      <c r="J4" s="176" t="s">
        <v>317</v>
      </c>
      <c r="K4" s="190" t="s">
        <v>318</v>
      </c>
      <c r="L4" s="33"/>
      <c r="V4" s="33"/>
    </row>
    <row r="5" spans="1:22" ht="15.6" customHeight="1" x14ac:dyDescent="0.25">
      <c r="A5" s="32" t="s">
        <v>18</v>
      </c>
      <c r="B5" s="49">
        <v>8.4</v>
      </c>
      <c r="C5" s="49">
        <f>'Electrcity Entry Form'!C7</f>
        <v>2901</v>
      </c>
      <c r="D5" s="64">
        <v>9344</v>
      </c>
      <c r="E5" s="213">
        <v>3131</v>
      </c>
      <c r="F5" s="49">
        <v>1484</v>
      </c>
      <c r="G5" s="213">
        <v>12245</v>
      </c>
      <c r="H5" s="84">
        <v>169</v>
      </c>
      <c r="I5" s="177">
        <v>0.12</v>
      </c>
      <c r="J5" s="84">
        <f>D5*I5</f>
        <v>1121.28</v>
      </c>
      <c r="K5" s="192">
        <f>D5/B5</f>
        <v>1112.3809523809523</v>
      </c>
      <c r="L5" s="33"/>
      <c r="V5" s="33"/>
    </row>
    <row r="6" spans="1:22" x14ac:dyDescent="0.25">
      <c r="A6" s="39" t="s">
        <v>17</v>
      </c>
      <c r="B6" s="49">
        <v>44.3</v>
      </c>
      <c r="C6" s="64">
        <f>'Electrcity Entry Form'!C8</f>
        <v>26840</v>
      </c>
      <c r="D6" s="216">
        <v>51412</v>
      </c>
      <c r="E6" s="64"/>
      <c r="F6" s="49">
        <v>5484</v>
      </c>
      <c r="G6" s="216">
        <f>D6-F6</f>
        <v>45928</v>
      </c>
      <c r="H6" s="235">
        <v>538</v>
      </c>
      <c r="I6" s="177">
        <v>0.08</v>
      </c>
      <c r="J6" s="84">
        <f>D6*I6</f>
        <v>4112.96</v>
      </c>
      <c r="K6" s="192">
        <f>D6/B6</f>
        <v>1160.5417607223478</v>
      </c>
      <c r="L6" s="33" t="s">
        <v>349</v>
      </c>
      <c r="V6" s="33"/>
    </row>
    <row r="7" spans="1:22" x14ac:dyDescent="0.25">
      <c r="A7" s="39" t="s">
        <v>25</v>
      </c>
      <c r="B7" s="49">
        <v>4.9000000000000004</v>
      </c>
      <c r="C7" s="49">
        <f>'Electrcity Entry Form'!C11</f>
        <v>2298</v>
      </c>
      <c r="D7" s="64">
        <v>5225</v>
      </c>
      <c r="E7" s="64"/>
      <c r="F7" s="220">
        <v>1029</v>
      </c>
      <c r="G7" s="64">
        <f>(C7+D7)-F7</f>
        <v>6494</v>
      </c>
      <c r="H7" s="84"/>
      <c r="I7" s="177">
        <v>0.12</v>
      </c>
      <c r="J7" s="84">
        <f>D7*I7</f>
        <v>627</v>
      </c>
      <c r="K7" s="192">
        <f>D7/B7</f>
        <v>1066.3265306122448</v>
      </c>
      <c r="L7" s="33"/>
      <c r="V7" s="33"/>
    </row>
    <row r="8" spans="1:22" x14ac:dyDescent="0.25">
      <c r="A8" s="39" t="s">
        <v>213</v>
      </c>
      <c r="B8" s="92">
        <v>5</v>
      </c>
      <c r="C8" s="92">
        <v>0</v>
      </c>
      <c r="D8" s="64">
        <v>4356</v>
      </c>
      <c r="E8" s="64"/>
      <c r="F8" s="92">
        <v>0</v>
      </c>
      <c r="G8" s="64">
        <f>(C8+D8)-F8</f>
        <v>4356</v>
      </c>
      <c r="H8" s="84"/>
      <c r="I8" s="178">
        <v>8.7999999999999995E-2</v>
      </c>
      <c r="J8" s="84">
        <f>D8*I8</f>
        <v>383.32799999999997</v>
      </c>
      <c r="K8" s="192">
        <f>D8/B8</f>
        <v>871.2</v>
      </c>
      <c r="L8" s="33"/>
      <c r="V8" s="33"/>
    </row>
    <row r="9" spans="1:22" x14ac:dyDescent="0.25">
      <c r="A9" s="39" t="s">
        <v>214</v>
      </c>
      <c r="B9" s="49">
        <v>111.4</v>
      </c>
      <c r="C9" s="64">
        <f>'Electrcity Entry Form'!C13</f>
        <v>402160</v>
      </c>
      <c r="D9" s="64">
        <v>114064</v>
      </c>
      <c r="E9" s="64"/>
      <c r="F9" s="49">
        <v>0</v>
      </c>
      <c r="G9" s="64">
        <f>(C9+D9)-F9</f>
        <v>516224</v>
      </c>
      <c r="H9" s="84"/>
      <c r="I9" s="178">
        <v>8.7999999999999995E-2</v>
      </c>
      <c r="J9" s="84">
        <f>D9*I9</f>
        <v>10037.632</v>
      </c>
      <c r="K9" s="192">
        <f>D9/B9</f>
        <v>1023.9138240574506</v>
      </c>
      <c r="L9" s="85"/>
      <c r="N9" t="s">
        <v>356</v>
      </c>
      <c r="V9" s="33"/>
    </row>
    <row r="10" spans="1:22" x14ac:dyDescent="0.25">
      <c r="A10" s="105" t="s">
        <v>206</v>
      </c>
      <c r="B10" s="179">
        <f>SUM(B5:B9)</f>
        <v>174</v>
      </c>
      <c r="C10" s="49"/>
      <c r="D10" s="66">
        <f>SUM(D5:D9)</f>
        <v>184401</v>
      </c>
      <c r="E10" s="66"/>
      <c r="F10" s="49"/>
      <c r="G10" s="66"/>
      <c r="H10" s="84"/>
      <c r="I10" s="178">
        <f>J10/D10</f>
        <v>8.8297785803764614E-2</v>
      </c>
      <c r="J10" s="174">
        <f>SUM(J5:J9)</f>
        <v>16282.199999999999</v>
      </c>
      <c r="K10" s="191"/>
      <c r="L10" s="33"/>
      <c r="N10" s="114">
        <f>D10*0.098</f>
        <v>18071.298000000003</v>
      </c>
      <c r="O10" t="s">
        <v>357</v>
      </c>
      <c r="V10" s="33"/>
    </row>
    <row r="11" spans="1:22" x14ac:dyDescent="0.25">
      <c r="A11" s="39" t="s">
        <v>205</v>
      </c>
      <c r="B11" s="49">
        <v>5.125</v>
      </c>
      <c r="C11" s="49">
        <v>5803</v>
      </c>
      <c r="D11" s="64">
        <v>5175</v>
      </c>
      <c r="E11" s="64"/>
      <c r="F11" s="49">
        <v>0</v>
      </c>
      <c r="G11" s="64">
        <f>(C11+D11)-F11</f>
        <v>10978</v>
      </c>
      <c r="H11" s="84"/>
      <c r="I11" s="178">
        <v>0.14000000000000001</v>
      </c>
      <c r="J11" s="84">
        <f>D11*I11</f>
        <v>724.50000000000011</v>
      </c>
      <c r="K11" s="192">
        <f>D11/B11</f>
        <v>1009.7560975609756</v>
      </c>
      <c r="L11" s="33"/>
      <c r="N11" s="114">
        <f>J11</f>
        <v>724.50000000000011</v>
      </c>
      <c r="O11" t="s">
        <v>358</v>
      </c>
      <c r="V11" s="33"/>
    </row>
    <row r="12" spans="1:22" x14ac:dyDescent="0.25">
      <c r="A12" s="39" t="s">
        <v>36</v>
      </c>
      <c r="B12" s="49">
        <v>190</v>
      </c>
      <c r="C12" s="49"/>
      <c r="D12" s="64">
        <v>205876</v>
      </c>
      <c r="E12" s="64"/>
      <c r="F12" s="49"/>
      <c r="G12" s="64"/>
      <c r="H12" s="84"/>
      <c r="I12" s="178">
        <v>8.1000000000000003E-2</v>
      </c>
      <c r="J12" s="84">
        <f>D12*I12</f>
        <v>16675.956000000002</v>
      </c>
      <c r="K12" s="192">
        <f>D12/B12</f>
        <v>1083.5578947368422</v>
      </c>
      <c r="L12" s="33"/>
      <c r="N12" s="114">
        <f>D12*0.0834</f>
        <v>17170.058400000002</v>
      </c>
      <c r="O12" t="s">
        <v>359</v>
      </c>
      <c r="V12" s="33"/>
    </row>
    <row r="13" spans="1:22" x14ac:dyDescent="0.25">
      <c r="A13" s="105" t="s">
        <v>207</v>
      </c>
      <c r="B13" s="180">
        <f>SUM(B11:B12)</f>
        <v>195.125</v>
      </c>
      <c r="C13" s="49"/>
      <c r="D13" s="66">
        <f>SUM(D11:D12)</f>
        <v>211051</v>
      </c>
      <c r="E13" s="66"/>
      <c r="F13" s="49"/>
      <c r="G13" s="64"/>
      <c r="H13" s="84"/>
      <c r="I13" s="49"/>
      <c r="J13" s="174">
        <f>SUM(J11:J12)</f>
        <v>17400.456000000002</v>
      </c>
      <c r="K13" s="192"/>
      <c r="L13" s="33"/>
      <c r="N13" s="114">
        <v>12400</v>
      </c>
      <c r="O13" t="s">
        <v>360</v>
      </c>
      <c r="V13" s="33"/>
    </row>
    <row r="14" spans="1:22" x14ac:dyDescent="0.25">
      <c r="A14" s="228" t="s">
        <v>208</v>
      </c>
      <c r="B14" s="64"/>
      <c r="C14" s="64"/>
      <c r="D14" s="64">
        <f>(D10+D11)-(F5+F6+F7)</f>
        <v>181579</v>
      </c>
      <c r="E14" s="64"/>
      <c r="F14" s="64"/>
      <c r="G14" s="64"/>
      <c r="H14" s="84"/>
      <c r="I14" s="64"/>
      <c r="J14" s="64"/>
      <c r="K14" s="194"/>
      <c r="L14" s="33"/>
      <c r="N14" s="114">
        <f>SUM(N10:N13)</f>
        <v>48365.856400000004</v>
      </c>
      <c r="O14" t="s">
        <v>361</v>
      </c>
      <c r="V14" s="33"/>
    </row>
    <row r="15" spans="1:22" x14ac:dyDescent="0.25">
      <c r="A15" s="229" t="s">
        <v>370</v>
      </c>
      <c r="B15" s="88"/>
      <c r="C15" s="88"/>
      <c r="D15" s="88"/>
      <c r="E15" s="88"/>
      <c r="F15" s="88"/>
      <c r="G15" s="88"/>
      <c r="H15" s="84">
        <f>SUM(H5:H7)</f>
        <v>707</v>
      </c>
      <c r="I15" s="88"/>
      <c r="J15" s="88"/>
      <c r="K15" s="193"/>
      <c r="L15" s="33"/>
      <c r="V15" s="33"/>
    </row>
    <row r="16" spans="1:22" x14ac:dyDescent="0.25">
      <c r="A16" s="75" t="s">
        <v>203</v>
      </c>
      <c r="B16" s="181">
        <f>B10+B13</f>
        <v>369.125</v>
      </c>
      <c r="C16" s="76">
        <f>SUM(C4:C11)</f>
        <v>440002</v>
      </c>
      <c r="D16" s="76">
        <f>D10+D13</f>
        <v>395452</v>
      </c>
      <c r="E16" s="76"/>
      <c r="F16" s="76"/>
      <c r="G16" s="76">
        <f>SUM(G4:G11)</f>
        <v>596225</v>
      </c>
      <c r="H16" s="76"/>
      <c r="I16" s="76"/>
      <c r="J16" s="173">
        <f>J10+J13</f>
        <v>33682.656000000003</v>
      </c>
      <c r="K16" s="197"/>
      <c r="U16" s="33"/>
    </row>
    <row r="17" spans="1:21" x14ac:dyDescent="0.25">
      <c r="A17" s="47"/>
      <c r="B17" s="66"/>
      <c r="C17" s="172"/>
      <c r="D17" s="172"/>
      <c r="E17" s="172"/>
      <c r="F17" s="172"/>
      <c r="G17" s="172"/>
      <c r="H17" s="172"/>
      <c r="I17" s="174"/>
      <c r="J17" s="66"/>
      <c r="K17" s="33"/>
      <c r="U17" s="33"/>
    </row>
    <row r="18" spans="1:21" x14ac:dyDescent="0.25">
      <c r="A18" s="47" t="s">
        <v>364</v>
      </c>
      <c r="B18" s="214"/>
      <c r="C18" s="215" t="s">
        <v>366</v>
      </c>
      <c r="D18" s="172"/>
      <c r="E18" s="172"/>
      <c r="F18" s="172"/>
      <c r="G18" s="172"/>
      <c r="H18" s="172"/>
      <c r="I18" s="174"/>
      <c r="J18" s="66"/>
      <c r="K18" s="33"/>
      <c r="U18" s="33"/>
    </row>
    <row r="19" spans="1:21" x14ac:dyDescent="0.25">
      <c r="A19" s="47"/>
      <c r="B19" s="217"/>
      <c r="C19" s="218" t="s">
        <v>365</v>
      </c>
      <c r="D19" s="172"/>
      <c r="E19" s="172"/>
      <c r="F19" s="172"/>
      <c r="G19" s="172"/>
      <c r="H19" s="172"/>
      <c r="I19" s="174"/>
      <c r="J19" s="66"/>
      <c r="K19" s="33"/>
      <c r="U19" s="33"/>
    </row>
    <row r="20" spans="1:21" x14ac:dyDescent="0.25">
      <c r="A20" s="47"/>
      <c r="B20" s="219"/>
      <c r="C20" s="218" t="s">
        <v>367</v>
      </c>
      <c r="D20" s="172"/>
      <c r="E20" s="172"/>
      <c r="F20" s="172"/>
      <c r="G20" s="172"/>
      <c r="H20" s="172"/>
      <c r="I20" s="174"/>
      <c r="J20" s="66"/>
      <c r="K20" s="33"/>
      <c r="T20" s="33"/>
    </row>
    <row r="21" spans="1:21" x14ac:dyDescent="0.25">
      <c r="A21" s="47"/>
      <c r="B21" s="221"/>
      <c r="C21" s="218" t="s">
        <v>383</v>
      </c>
      <c r="D21" s="172"/>
      <c r="E21" s="172"/>
      <c r="F21" s="172"/>
      <c r="G21" s="172"/>
      <c r="H21" s="172"/>
      <c r="I21" s="174"/>
      <c r="J21" s="66"/>
      <c r="K21" s="33"/>
      <c r="T21" s="33"/>
    </row>
    <row r="22" spans="1:21" x14ac:dyDescent="0.25">
      <c r="A22" s="47"/>
      <c r="B22" s="182"/>
      <c r="C22" s="182"/>
      <c r="D22" s="152"/>
      <c r="E22" s="152"/>
      <c r="F22" s="152"/>
      <c r="G22" s="152"/>
      <c r="H22" s="152"/>
      <c r="I22" s="152"/>
      <c r="J22" s="33"/>
      <c r="T22" s="47"/>
    </row>
    <row r="23" spans="1:21" ht="15.75" x14ac:dyDescent="0.25">
      <c r="A23" s="255">
        <v>2020</v>
      </c>
      <c r="B23" s="256"/>
      <c r="C23" s="256"/>
      <c r="D23" s="256"/>
      <c r="E23" s="256"/>
      <c r="F23" s="256"/>
      <c r="G23" s="256"/>
      <c r="H23" s="256"/>
      <c r="I23" s="257"/>
      <c r="J23" s="31"/>
      <c r="L23" s="31"/>
      <c r="M23" s="31"/>
      <c r="N23" s="31"/>
      <c r="O23" s="31"/>
      <c r="P23" s="183"/>
      <c r="Q23" s="183"/>
      <c r="R23" s="33"/>
      <c r="S23" s="184"/>
      <c r="T23" s="47"/>
    </row>
    <row r="24" spans="1:21" ht="60" x14ac:dyDescent="0.25">
      <c r="A24" s="99" t="s">
        <v>212</v>
      </c>
      <c r="B24" s="58" t="s">
        <v>6</v>
      </c>
      <c r="C24" s="68" t="s">
        <v>196</v>
      </c>
      <c r="D24" s="68" t="s">
        <v>200</v>
      </c>
      <c r="E24" s="68" t="s">
        <v>303</v>
      </c>
      <c r="F24" s="68" t="s">
        <v>145</v>
      </c>
      <c r="G24" s="68" t="s">
        <v>30</v>
      </c>
      <c r="H24" s="68" t="s">
        <v>222</v>
      </c>
      <c r="I24" s="74" t="s">
        <v>298</v>
      </c>
      <c r="J24" s="31"/>
      <c r="K24" s="31"/>
    </row>
    <row r="25" spans="1:21" x14ac:dyDescent="0.25">
      <c r="A25" s="32" t="s">
        <v>18</v>
      </c>
      <c r="B25" s="33">
        <v>8.4</v>
      </c>
      <c r="C25" s="40">
        <f>'Electrcity Entry Form'!E7</f>
        <v>3107</v>
      </c>
      <c r="D25" s="49">
        <v>9879</v>
      </c>
      <c r="E25" s="49">
        <v>1863</v>
      </c>
      <c r="F25" s="36">
        <f>(C25+D25)-E25</f>
        <v>11123</v>
      </c>
      <c r="G25" s="34">
        <v>0.12</v>
      </c>
      <c r="H25" s="35">
        <f>D25*G25</f>
        <v>1185.48</v>
      </c>
      <c r="I25" s="194">
        <f>D25/B5</f>
        <v>1176.0714285714284</v>
      </c>
    </row>
    <row r="26" spans="1:21" x14ac:dyDescent="0.25">
      <c r="A26" s="39" t="s">
        <v>17</v>
      </c>
      <c r="B26" s="33">
        <v>44.3</v>
      </c>
      <c r="C26" s="40">
        <f>'Electrcity Entry Form'!E8</f>
        <v>17320</v>
      </c>
      <c r="D26" s="64">
        <v>46547</v>
      </c>
      <c r="E26" s="64">
        <v>10120</v>
      </c>
      <c r="F26" s="36">
        <f>(C26+D26)-E26</f>
        <v>53747</v>
      </c>
      <c r="G26" s="34">
        <v>0.08</v>
      </c>
      <c r="H26" s="35">
        <f>D26*G26</f>
        <v>3723.76</v>
      </c>
      <c r="I26" s="194">
        <f>D26/B6</f>
        <v>1050.722347629797</v>
      </c>
    </row>
    <row r="27" spans="1:21" x14ac:dyDescent="0.25">
      <c r="A27" s="39" t="s">
        <v>25</v>
      </c>
      <c r="B27" s="33">
        <v>4.9000000000000004</v>
      </c>
      <c r="C27" s="40">
        <f>'Electrcity Entry Form'!E11</f>
        <v>943</v>
      </c>
      <c r="D27" s="49">
        <v>5600</v>
      </c>
      <c r="E27" s="49">
        <v>0</v>
      </c>
      <c r="F27" s="36">
        <f>(C27+D27)-E27</f>
        <v>6543</v>
      </c>
      <c r="G27" s="34">
        <v>0.12</v>
      </c>
      <c r="H27" s="35">
        <f>D27*G27</f>
        <v>672</v>
      </c>
      <c r="I27" s="194">
        <f>D27/B7</f>
        <v>1142.8571428571427</v>
      </c>
    </row>
    <row r="28" spans="1:21" x14ac:dyDescent="0.25">
      <c r="A28" s="39" t="s">
        <v>213</v>
      </c>
      <c r="B28" s="42">
        <v>5</v>
      </c>
      <c r="C28" s="40">
        <v>0</v>
      </c>
      <c r="D28" s="49">
        <v>4885</v>
      </c>
      <c r="E28" s="49">
        <v>0</v>
      </c>
      <c r="F28" s="36">
        <f>(C28+D28)-E28</f>
        <v>4885</v>
      </c>
      <c r="G28" s="43">
        <v>8.7999999999999995E-2</v>
      </c>
      <c r="H28" s="35">
        <f>D28*G28</f>
        <v>429.88</v>
      </c>
      <c r="I28" s="194">
        <f>D28/B8</f>
        <v>977</v>
      </c>
    </row>
    <row r="29" spans="1:21" x14ac:dyDescent="0.25">
      <c r="A29" s="39" t="s">
        <v>214</v>
      </c>
      <c r="B29" s="33">
        <v>111.4</v>
      </c>
      <c r="C29" s="40">
        <f>'Electrcity Entry Form'!E13</f>
        <v>404720</v>
      </c>
      <c r="D29" s="64">
        <v>112360</v>
      </c>
      <c r="E29" s="64">
        <v>0</v>
      </c>
      <c r="F29" s="36">
        <f>(C29+D29)-E29</f>
        <v>517080</v>
      </c>
      <c r="G29" s="43">
        <v>8.7999999999999995E-2</v>
      </c>
      <c r="H29" s="35">
        <f>D29*G29</f>
        <v>9887.68</v>
      </c>
      <c r="I29" s="194">
        <f>D29/B9</f>
        <v>1008.6175942549371</v>
      </c>
    </row>
    <row r="30" spans="1:21" x14ac:dyDescent="0.25">
      <c r="A30" s="105" t="s">
        <v>206</v>
      </c>
      <c r="B30" s="31">
        <f>SUM(B25:B29)</f>
        <v>174</v>
      </c>
      <c r="C30" s="40"/>
      <c r="D30" s="66">
        <f>SUM(D25:D29)</f>
        <v>179271</v>
      </c>
      <c r="E30" s="66"/>
      <c r="F30" s="33"/>
      <c r="G30" s="34"/>
      <c r="H30" s="46">
        <f>SUM(H25:H29)</f>
        <v>15898.8</v>
      </c>
      <c r="I30" s="194"/>
    </row>
    <row r="31" spans="1:21" x14ac:dyDescent="0.25">
      <c r="A31" s="39" t="s">
        <v>205</v>
      </c>
      <c r="B31" s="33">
        <v>5.125</v>
      </c>
      <c r="C31" s="40">
        <f>'Electrcity Entry Form'!E15</f>
        <v>8414</v>
      </c>
      <c r="D31" s="49">
        <f>25*210</f>
        <v>5250</v>
      </c>
      <c r="E31" s="49"/>
      <c r="F31" s="36">
        <f>C31+D31</f>
        <v>13664</v>
      </c>
      <c r="G31" s="43">
        <v>0.13500000000000001</v>
      </c>
      <c r="H31" s="35">
        <f>D31*G31</f>
        <v>708.75</v>
      </c>
      <c r="I31" s="194">
        <f>D31/B11</f>
        <v>1024.3902439024391</v>
      </c>
    </row>
    <row r="32" spans="1:21" x14ac:dyDescent="0.25">
      <c r="A32" s="39" t="s">
        <v>36</v>
      </c>
      <c r="B32" s="33">
        <v>190</v>
      </c>
      <c r="C32" s="37"/>
      <c r="D32" s="67">
        <v>203850</v>
      </c>
      <c r="E32" s="67"/>
      <c r="F32" s="33"/>
      <c r="G32" s="43">
        <v>8.1000000000000003E-2</v>
      </c>
      <c r="H32" s="35">
        <f>D32*G32</f>
        <v>16511.850000000002</v>
      </c>
      <c r="I32" s="194">
        <f>D32/B12</f>
        <v>1072.8947368421052</v>
      </c>
    </row>
    <row r="33" spans="1:17" x14ac:dyDescent="0.25">
      <c r="A33" s="105" t="s">
        <v>207</v>
      </c>
      <c r="B33" s="171">
        <f>SUM(B31:B32)</f>
        <v>195.125</v>
      </c>
      <c r="C33" s="37"/>
      <c r="D33" s="66">
        <f>SUM(D31:D32)</f>
        <v>209100</v>
      </c>
      <c r="E33" s="66"/>
      <c r="F33" s="33"/>
      <c r="G33" s="33"/>
      <c r="H33" s="46">
        <f>SUM(H31:H32)</f>
        <v>17220.600000000002</v>
      </c>
      <c r="I33" s="194"/>
    </row>
    <row r="34" spans="1:17" x14ac:dyDescent="0.25">
      <c r="A34" s="51" t="s">
        <v>208</v>
      </c>
      <c r="B34" s="36"/>
      <c r="C34" s="37"/>
      <c r="D34" s="67">
        <f>D30+D31</f>
        <v>184521</v>
      </c>
      <c r="E34" s="67"/>
      <c r="F34" s="33"/>
      <c r="G34" s="33"/>
      <c r="H34" s="33"/>
      <c r="I34" s="194"/>
    </row>
    <row r="35" spans="1:17" x14ac:dyDescent="0.25">
      <c r="A35" s="57"/>
      <c r="B35" s="154"/>
      <c r="C35" s="52"/>
      <c r="D35" s="52"/>
      <c r="E35" s="52"/>
      <c r="F35" s="52"/>
      <c r="G35" s="52"/>
      <c r="H35" s="52"/>
      <c r="I35" s="193"/>
    </row>
    <row r="36" spans="1:17" x14ac:dyDescent="0.25">
      <c r="A36" s="75" t="s">
        <v>203</v>
      </c>
      <c r="B36" s="80">
        <f>B30+B33</f>
        <v>369.125</v>
      </c>
      <c r="C36" s="76">
        <f>SUM(C25:C32)</f>
        <v>434504</v>
      </c>
      <c r="D36" s="76">
        <f>D30+D33</f>
        <v>388371</v>
      </c>
      <c r="E36" s="76"/>
      <c r="F36" s="76">
        <f>SUM(F25:F32)</f>
        <v>607042</v>
      </c>
      <c r="G36" s="76"/>
      <c r="H36" s="173">
        <f>H30+H33</f>
        <v>33119.4</v>
      </c>
      <c r="I36" s="196"/>
    </row>
    <row r="37" spans="1:17" ht="15.75" customHeight="1" x14ac:dyDescent="0.25">
      <c r="A37" s="47"/>
      <c r="B37" s="45"/>
      <c r="C37" s="172"/>
      <c r="D37" s="172"/>
      <c r="E37" s="172"/>
      <c r="F37" s="172"/>
      <c r="G37" s="172"/>
      <c r="H37" s="174"/>
    </row>
    <row r="38" spans="1:17" ht="15" customHeight="1" x14ac:dyDescent="0.25">
      <c r="A38" s="3"/>
      <c r="C38" s="172"/>
      <c r="D38" s="172"/>
      <c r="E38" s="172"/>
      <c r="F38" s="172"/>
      <c r="G38" s="172"/>
      <c r="H38" s="174"/>
      <c r="L38" s="201"/>
      <c r="M38" s="201"/>
      <c r="N38" s="201"/>
      <c r="O38" s="201"/>
      <c r="P38" s="201"/>
      <c r="Q38" s="202"/>
    </row>
    <row r="39" spans="1:17" ht="28.5" customHeight="1" x14ac:dyDescent="0.25">
      <c r="A39" s="258" t="s">
        <v>345</v>
      </c>
      <c r="B39" s="259"/>
      <c r="C39" s="259"/>
      <c r="D39" s="259"/>
      <c r="E39" s="259"/>
      <c r="F39" s="259"/>
      <c r="G39" s="260"/>
      <c r="H39" s="174"/>
      <c r="I39" s="200" t="s">
        <v>211</v>
      </c>
      <c r="J39" s="201"/>
      <c r="K39" s="201"/>
      <c r="L39" s="68" t="s">
        <v>29</v>
      </c>
      <c r="M39" s="68" t="s">
        <v>30</v>
      </c>
      <c r="N39" s="68" t="s">
        <v>31</v>
      </c>
      <c r="O39" s="68" t="s">
        <v>32</v>
      </c>
      <c r="P39" s="68" t="s">
        <v>143</v>
      </c>
      <c r="Q39" s="74" t="s">
        <v>159</v>
      </c>
    </row>
    <row r="40" spans="1:17" ht="15" customHeight="1" x14ac:dyDescent="0.25">
      <c r="A40" s="99" t="s">
        <v>212</v>
      </c>
      <c r="B40" s="175" t="s">
        <v>6</v>
      </c>
      <c r="C40" s="176" t="s">
        <v>210</v>
      </c>
      <c r="D40" s="176" t="s">
        <v>144</v>
      </c>
      <c r="E40" s="176" t="s">
        <v>221</v>
      </c>
      <c r="F40" s="176" t="s">
        <v>301</v>
      </c>
      <c r="G40" s="74" t="s">
        <v>302</v>
      </c>
      <c r="H40" s="172"/>
      <c r="I40" s="73" t="s">
        <v>27</v>
      </c>
      <c r="J40" s="58" t="s">
        <v>28</v>
      </c>
      <c r="K40" s="58" t="s">
        <v>6</v>
      </c>
      <c r="L40" s="33">
        <v>1200</v>
      </c>
      <c r="M40" s="34">
        <v>0.12</v>
      </c>
      <c r="N40" s="35">
        <f>K41*L40*M40</f>
        <v>1209.5999999999999</v>
      </c>
      <c r="O40" s="36">
        <f>K41*L40</f>
        <v>10080</v>
      </c>
      <c r="P40" s="37">
        <f>'Electrcity Entry Form'!G7</f>
        <v>11002</v>
      </c>
      <c r="Q40" s="38"/>
    </row>
    <row r="41" spans="1:17" ht="15" customHeight="1" x14ac:dyDescent="0.25">
      <c r="A41" s="32" t="s">
        <v>18</v>
      </c>
      <c r="B41" s="49">
        <v>8.4</v>
      </c>
      <c r="C41" s="49">
        <v>0</v>
      </c>
      <c r="D41" s="64">
        <f>C41+P40</f>
        <v>11002</v>
      </c>
      <c r="E41" s="64">
        <f>C41*M40</f>
        <v>0</v>
      </c>
      <c r="F41" s="49"/>
      <c r="G41" s="44"/>
      <c r="H41" s="172"/>
      <c r="I41" s="32" t="s">
        <v>18</v>
      </c>
      <c r="J41" s="33" t="s">
        <v>34</v>
      </c>
      <c r="K41" s="33">
        <v>8.4</v>
      </c>
      <c r="L41" s="33">
        <v>1200</v>
      </c>
      <c r="M41" s="34">
        <v>0.08</v>
      </c>
      <c r="N41" s="35">
        <f>K42*L41*M41</f>
        <v>4252.8</v>
      </c>
      <c r="O41" s="36">
        <f>K42*L41</f>
        <v>53160</v>
      </c>
      <c r="P41" s="37">
        <f>'Electrcity Entry Form'!G8</f>
        <v>56880</v>
      </c>
      <c r="Q41" s="38"/>
    </row>
    <row r="42" spans="1:17" ht="15" customHeight="1" x14ac:dyDescent="0.25">
      <c r="A42" s="39" t="s">
        <v>17</v>
      </c>
      <c r="B42" s="49">
        <v>44.3</v>
      </c>
      <c r="C42" s="49">
        <v>0</v>
      </c>
      <c r="D42" s="64">
        <f>C42+P41</f>
        <v>56880</v>
      </c>
      <c r="E42" s="64"/>
      <c r="F42" s="49"/>
      <c r="G42" s="44"/>
      <c r="H42" s="172"/>
      <c r="I42" s="39" t="s">
        <v>17</v>
      </c>
      <c r="J42" s="33" t="s">
        <v>34</v>
      </c>
      <c r="K42" s="33">
        <v>44.3</v>
      </c>
      <c r="L42" s="33">
        <v>1200</v>
      </c>
      <c r="M42" s="34">
        <v>0.12</v>
      </c>
      <c r="N42" s="35">
        <f>K43*L42*M42</f>
        <v>705.6</v>
      </c>
      <c r="O42" s="36">
        <f>K43*L42</f>
        <v>5880</v>
      </c>
      <c r="P42" s="40">
        <f>'Electrcity Entry Form'!G11</f>
        <v>2070</v>
      </c>
      <c r="Q42" s="41">
        <f>C43</f>
        <v>5880</v>
      </c>
    </row>
    <row r="43" spans="1:17" ht="15" customHeight="1" x14ac:dyDescent="0.25">
      <c r="A43" s="39" t="s">
        <v>25</v>
      </c>
      <c r="B43" s="49">
        <v>4.9000000000000004</v>
      </c>
      <c r="C43" s="49">
        <v>5880</v>
      </c>
      <c r="D43" s="64">
        <f>C43+P42</f>
        <v>7950</v>
      </c>
      <c r="E43" s="185">
        <f>C43*M42</f>
        <v>705.6</v>
      </c>
      <c r="F43" s="49"/>
      <c r="G43" s="44"/>
      <c r="H43" s="172"/>
      <c r="I43" s="39" t="s">
        <v>25</v>
      </c>
      <c r="J43" s="33" t="s">
        <v>34</v>
      </c>
      <c r="K43" s="33">
        <v>4.9000000000000004</v>
      </c>
      <c r="L43" s="33">
        <v>1200</v>
      </c>
      <c r="M43" s="34">
        <v>0.08</v>
      </c>
      <c r="N43" s="35">
        <f>K44*L43*M43</f>
        <v>480</v>
      </c>
      <c r="O43" s="36">
        <f>C44</f>
        <v>4420</v>
      </c>
      <c r="P43" s="37">
        <f>'Electrcity Entry Form'!G13</f>
        <v>549840</v>
      </c>
      <c r="Q43" s="38">
        <f>C44</f>
        <v>4420</v>
      </c>
    </row>
    <row r="44" spans="1:17" ht="15" customHeight="1" x14ac:dyDescent="0.25">
      <c r="A44" s="39" t="s">
        <v>213</v>
      </c>
      <c r="B44" s="92">
        <v>5</v>
      </c>
      <c r="C44" s="49">
        <v>4420</v>
      </c>
      <c r="D44" s="64">
        <f>C44+P43</f>
        <v>554260</v>
      </c>
      <c r="E44" s="185">
        <f>C44*M43</f>
        <v>353.6</v>
      </c>
      <c r="F44" s="49">
        <v>5180</v>
      </c>
      <c r="G44" s="44">
        <v>3730</v>
      </c>
      <c r="H44" s="172"/>
      <c r="I44" s="39" t="s">
        <v>198</v>
      </c>
      <c r="J44" s="33" t="s">
        <v>34</v>
      </c>
      <c r="K44" s="42">
        <v>5</v>
      </c>
      <c r="L44" s="33">
        <v>1200</v>
      </c>
      <c r="M44" s="34">
        <v>0.08</v>
      </c>
      <c r="N44" s="35">
        <f>K45*L44*M44</f>
        <v>10694.4</v>
      </c>
      <c r="O44" s="36">
        <f>K45*L44</f>
        <v>133680</v>
      </c>
      <c r="P44" s="37">
        <v>0</v>
      </c>
      <c r="Q44" s="38"/>
    </row>
    <row r="45" spans="1:17" ht="15" customHeight="1" x14ac:dyDescent="0.25">
      <c r="A45" s="39" t="s">
        <v>214</v>
      </c>
      <c r="B45" s="49">
        <v>111.4</v>
      </c>
      <c r="C45" s="49">
        <v>0</v>
      </c>
      <c r="D45" s="64">
        <f>C45+P44</f>
        <v>0</v>
      </c>
      <c r="E45" s="185"/>
      <c r="F45" s="49"/>
      <c r="G45" s="44"/>
      <c r="H45" s="172"/>
      <c r="I45" s="39" t="s">
        <v>199</v>
      </c>
      <c r="J45" s="33" t="s">
        <v>34</v>
      </c>
      <c r="K45" s="33">
        <v>111.4</v>
      </c>
      <c r="L45" s="33"/>
      <c r="M45" s="34"/>
      <c r="N45" s="35"/>
      <c r="O45" s="36"/>
      <c r="P45" s="37"/>
      <c r="Q45" s="38"/>
    </row>
    <row r="46" spans="1:17" ht="15" customHeight="1" x14ac:dyDescent="0.25">
      <c r="A46" s="105" t="s">
        <v>206</v>
      </c>
      <c r="B46" s="179">
        <f>SUM(B41:B45)</f>
        <v>174</v>
      </c>
      <c r="C46" s="186">
        <f>SUM(C41:C45)</f>
        <v>10300</v>
      </c>
      <c r="D46" s="64"/>
      <c r="E46" s="185"/>
      <c r="F46" s="49"/>
      <c r="G46" s="44"/>
      <c r="H46" s="172"/>
      <c r="I46" s="32"/>
      <c r="J46" s="33"/>
      <c r="K46" s="33"/>
      <c r="L46" s="42">
        <f>G56</f>
        <v>994.84756097560978</v>
      </c>
      <c r="M46" s="34">
        <v>0.14000000000000001</v>
      </c>
      <c r="N46" s="35">
        <f>(K47*L46*M46)*0.9</f>
        <v>642.42281250000008</v>
      </c>
      <c r="O46" s="36">
        <f>(K47*L46)*0.9</f>
        <v>4588.734375</v>
      </c>
      <c r="P46" s="37">
        <f>'Electrcity Entry Form'!G15</f>
        <v>8669</v>
      </c>
      <c r="Q46" s="38">
        <f>O46</f>
        <v>4588.734375</v>
      </c>
    </row>
    <row r="47" spans="1:17" ht="15" customHeight="1" x14ac:dyDescent="0.25">
      <c r="A47" s="39" t="s">
        <v>205</v>
      </c>
      <c r="B47" s="49">
        <v>5.125</v>
      </c>
      <c r="C47" s="49">
        <v>4543</v>
      </c>
      <c r="D47" s="64">
        <f>P46+O46</f>
        <v>13257.734375</v>
      </c>
      <c r="E47" s="185">
        <f>C47*0.14</f>
        <v>636.0200000000001</v>
      </c>
      <c r="F47" s="49"/>
      <c r="G47" s="44"/>
      <c r="H47" s="172"/>
      <c r="I47" s="39" t="s">
        <v>84</v>
      </c>
      <c r="J47" s="33" t="s">
        <v>35</v>
      </c>
      <c r="K47" s="33">
        <v>5.125</v>
      </c>
      <c r="L47" s="33">
        <f>G57</f>
        <v>1075.817543859649</v>
      </c>
      <c r="M47" s="43">
        <v>7.4999999999999997E-2</v>
      </c>
      <c r="N47" s="35">
        <f>K48*L47*M47</f>
        <v>15330.399999999998</v>
      </c>
      <c r="O47" s="36">
        <f>K48*L47</f>
        <v>204405.33333333331</v>
      </c>
      <c r="P47" s="37"/>
      <c r="Q47" s="38"/>
    </row>
    <row r="48" spans="1:17" ht="15" customHeight="1" x14ac:dyDescent="0.25">
      <c r="A48" s="39" t="s">
        <v>36</v>
      </c>
      <c r="B48" s="49">
        <v>190</v>
      </c>
      <c r="C48" s="64">
        <f>190*D57</f>
        <v>203490</v>
      </c>
      <c r="D48" s="49"/>
      <c r="E48" s="185">
        <f>C48*0.075</f>
        <v>15261.75</v>
      </c>
      <c r="F48" s="49" t="s">
        <v>362</v>
      </c>
      <c r="G48" s="44"/>
      <c r="H48" s="172"/>
      <c r="I48" s="39" t="s">
        <v>36</v>
      </c>
      <c r="J48" s="33" t="s">
        <v>35</v>
      </c>
      <c r="K48" s="33">
        <v>190</v>
      </c>
      <c r="L48" s="33"/>
      <c r="M48" s="43"/>
      <c r="N48" s="35"/>
      <c r="O48" s="36"/>
      <c r="P48" s="37"/>
      <c r="Q48" s="38"/>
    </row>
    <row r="49" spans="1:17" ht="15" customHeight="1" x14ac:dyDescent="0.25">
      <c r="A49" s="105" t="s">
        <v>207</v>
      </c>
      <c r="B49" s="180">
        <f>SUM(B47:B48)</f>
        <v>195.125</v>
      </c>
      <c r="C49" s="66">
        <f>SUM(C47:C48)</f>
        <v>208033</v>
      </c>
      <c r="D49" s="49"/>
      <c r="E49" s="185"/>
      <c r="F49" s="49"/>
      <c r="G49" s="44"/>
      <c r="H49" s="172"/>
      <c r="I49" s="39"/>
      <c r="J49" s="33"/>
      <c r="K49" s="33"/>
      <c r="L49" s="33"/>
      <c r="M49" s="43"/>
      <c r="N49" s="35">
        <f>SUM(N40:N44)</f>
        <v>17342.400000000001</v>
      </c>
      <c r="O49" s="36">
        <f>SUM(O40:O44)</f>
        <v>207220</v>
      </c>
      <c r="P49" s="37"/>
      <c r="Q49" s="38">
        <f>Q42+Q43</f>
        <v>10300</v>
      </c>
    </row>
    <row r="50" spans="1:17" ht="15" customHeight="1" x14ac:dyDescent="0.25">
      <c r="A50" s="51" t="s">
        <v>208</v>
      </c>
      <c r="B50" s="64"/>
      <c r="C50" s="64"/>
      <c r="D50" s="49"/>
      <c r="E50" s="185"/>
      <c r="F50" s="49"/>
      <c r="G50" s="44"/>
      <c r="H50" s="172"/>
      <c r="I50" s="39" t="s">
        <v>140</v>
      </c>
      <c r="J50" s="33"/>
      <c r="K50" s="36">
        <f>SUM(K41:K45)</f>
        <v>174</v>
      </c>
      <c r="L50" s="33"/>
      <c r="M50" s="33"/>
      <c r="N50" s="35">
        <f>SUM(N46:N47)</f>
        <v>15972.822812499999</v>
      </c>
      <c r="O50" s="36">
        <f>SUM(O46:O47)</f>
        <v>208994.06770833331</v>
      </c>
      <c r="P50" s="33"/>
      <c r="Q50" s="100">
        <f>Q46</f>
        <v>4588.734375</v>
      </c>
    </row>
    <row r="51" spans="1:17" ht="15" customHeight="1" x14ac:dyDescent="0.25">
      <c r="A51" s="57"/>
      <c r="B51" s="88"/>
      <c r="C51" s="187"/>
      <c r="D51" s="187"/>
      <c r="E51" s="95"/>
      <c r="F51" s="188"/>
      <c r="G51" s="155"/>
      <c r="H51" s="172"/>
      <c r="I51" s="39" t="s">
        <v>141</v>
      </c>
      <c r="J51" s="33"/>
      <c r="K51" s="36">
        <f>SUM(K47:K48)</f>
        <v>195.125</v>
      </c>
      <c r="L51" s="79"/>
      <c r="M51" s="79"/>
      <c r="N51" s="173">
        <f>SUM(N49:N50)</f>
        <v>33315.222812499997</v>
      </c>
      <c r="O51" s="80">
        <f>SUM(O49:O50)</f>
        <v>416214.06770833331</v>
      </c>
      <c r="P51" s="81">
        <f>SUM(P40:P47)</f>
        <v>628461</v>
      </c>
      <c r="Q51" s="82">
        <f>Q49+Q50</f>
        <v>14888.734375</v>
      </c>
    </row>
    <row r="52" spans="1:17" ht="15" customHeight="1" x14ac:dyDescent="0.25">
      <c r="A52" s="75" t="s">
        <v>203</v>
      </c>
      <c r="B52" s="181">
        <f>B46+B49</f>
        <v>369.125</v>
      </c>
      <c r="C52" s="189">
        <f>C46+C49</f>
        <v>218333</v>
      </c>
      <c r="D52" s="189">
        <f t="shared" ref="D52:G52" si="0">SUM(D41:D48)</f>
        <v>643349.734375</v>
      </c>
      <c r="E52" s="189">
        <f t="shared" si="0"/>
        <v>16956.97</v>
      </c>
      <c r="F52" s="189">
        <f t="shared" si="0"/>
        <v>5180</v>
      </c>
      <c r="G52" s="77">
        <f t="shared" si="0"/>
        <v>3730</v>
      </c>
      <c r="H52" s="172"/>
      <c r="I52" s="78" t="s">
        <v>4</v>
      </c>
      <c r="J52" s="79"/>
      <c r="K52" s="80">
        <f>SUM(K50:K51)</f>
        <v>369.125</v>
      </c>
      <c r="L52" s="31"/>
      <c r="M52" s="31"/>
      <c r="N52" s="69" t="s">
        <v>160</v>
      </c>
      <c r="O52" s="70"/>
      <c r="P52" s="52"/>
      <c r="Q52" s="71">
        <f>P51+Q51</f>
        <v>643349.734375</v>
      </c>
    </row>
    <row r="53" spans="1:17" x14ac:dyDescent="0.25">
      <c r="A53" s="3"/>
      <c r="B53" s="195"/>
      <c r="C53" s="195"/>
      <c r="D53" s="195"/>
      <c r="E53" s="172"/>
      <c r="F53" s="172"/>
      <c r="G53" s="172"/>
      <c r="H53" s="174"/>
      <c r="I53" s="31"/>
      <c r="J53" s="31"/>
      <c r="K53" s="31"/>
    </row>
    <row r="54" spans="1:17" x14ac:dyDescent="0.25">
      <c r="A54" s="253" t="s">
        <v>190</v>
      </c>
      <c r="B54" s="254"/>
      <c r="C54" s="254"/>
      <c r="D54" s="53"/>
      <c r="E54" s="53"/>
      <c r="F54" s="53"/>
      <c r="G54" s="54"/>
    </row>
    <row r="55" spans="1:17" ht="30" x14ac:dyDescent="0.25">
      <c r="A55" s="39"/>
      <c r="B55" s="55" t="s">
        <v>319</v>
      </c>
      <c r="C55" s="55" t="s">
        <v>177</v>
      </c>
      <c r="D55" s="55" t="s">
        <v>178</v>
      </c>
      <c r="E55" s="55" t="s">
        <v>179</v>
      </c>
      <c r="F55" s="55" t="s">
        <v>180</v>
      </c>
      <c r="G55" s="56" t="s">
        <v>181</v>
      </c>
    </row>
    <row r="56" spans="1:17" x14ac:dyDescent="0.25">
      <c r="A56" s="39" t="s">
        <v>176</v>
      </c>
      <c r="B56" s="42">
        <f>D11/B11</f>
        <v>1009.7560975609756</v>
      </c>
      <c r="C56" s="42">
        <f>D31/B31</f>
        <v>1024.3902439024391</v>
      </c>
      <c r="D56" s="33">
        <v>831</v>
      </c>
      <c r="E56" s="33">
        <v>1026</v>
      </c>
      <c r="F56" s="33">
        <v>1098</v>
      </c>
      <c r="G56" s="60">
        <f>AVERAGE(C56:F56)</f>
        <v>994.84756097560978</v>
      </c>
    </row>
    <row r="57" spans="1:17" x14ac:dyDescent="0.25">
      <c r="A57" s="57" t="s">
        <v>36</v>
      </c>
      <c r="B57" s="93">
        <f>D12/B12</f>
        <v>1083.5578947368422</v>
      </c>
      <c r="C57" s="160">
        <f>D32/B12</f>
        <v>1072.8947368421052</v>
      </c>
      <c r="D57" s="52">
        <v>1071</v>
      </c>
      <c r="E57" s="52"/>
      <c r="F57" s="52"/>
      <c r="G57" s="61">
        <f>AVERAGE(B57:F57)</f>
        <v>1075.817543859649</v>
      </c>
    </row>
    <row r="59" spans="1:17" x14ac:dyDescent="0.25">
      <c r="A59" s="251" t="s">
        <v>189</v>
      </c>
      <c r="B59" s="252"/>
      <c r="C59" s="58" t="s">
        <v>182</v>
      </c>
      <c r="D59" s="59" t="s">
        <v>29</v>
      </c>
    </row>
    <row r="60" spans="1:17" x14ac:dyDescent="0.25">
      <c r="A60" s="39" t="s">
        <v>183</v>
      </c>
      <c r="B60" s="33"/>
      <c r="C60" s="33">
        <v>1275</v>
      </c>
      <c r="D60" s="60">
        <f>C60*1000/984</f>
        <v>1295.7317073170732</v>
      </c>
    </row>
    <row r="61" spans="1:17" x14ac:dyDescent="0.25">
      <c r="A61" s="57" t="s">
        <v>184</v>
      </c>
      <c r="B61" s="52"/>
      <c r="C61" s="52">
        <v>1500</v>
      </c>
      <c r="D61" s="61">
        <f>C61*1000/998</f>
        <v>1503.006012024048</v>
      </c>
    </row>
    <row r="63" spans="1:17" x14ac:dyDescent="0.25">
      <c r="A63" t="s">
        <v>201</v>
      </c>
    </row>
    <row r="64" spans="1:17" x14ac:dyDescent="0.25">
      <c r="A64" t="s">
        <v>250</v>
      </c>
    </row>
    <row r="66" spans="1:4" x14ac:dyDescent="0.25">
      <c r="A66" t="s">
        <v>175</v>
      </c>
      <c r="B66" t="s">
        <v>215</v>
      </c>
    </row>
    <row r="67" spans="1:4" x14ac:dyDescent="0.25">
      <c r="B67" t="s">
        <v>216</v>
      </c>
    </row>
    <row r="68" spans="1:4" x14ac:dyDescent="0.25">
      <c r="B68" t="s">
        <v>299</v>
      </c>
    </row>
    <row r="69" spans="1:4" x14ac:dyDescent="0.25">
      <c r="B69" t="s">
        <v>300</v>
      </c>
    </row>
    <row r="70" spans="1:4" x14ac:dyDescent="0.25">
      <c r="B70" t="s">
        <v>249</v>
      </c>
    </row>
    <row r="71" spans="1:4" x14ac:dyDescent="0.25">
      <c r="B71" s="63" t="s">
        <v>346</v>
      </c>
      <c r="C71" s="63"/>
      <c r="D71" s="63"/>
    </row>
    <row r="72" spans="1:4" x14ac:dyDescent="0.25">
      <c r="B72" t="s">
        <v>347</v>
      </c>
    </row>
  </sheetData>
  <mergeCells count="5">
    <mergeCell ref="A59:B59"/>
    <mergeCell ref="A54:C54"/>
    <mergeCell ref="A23:I23"/>
    <mergeCell ref="A39:G39"/>
    <mergeCell ref="A3:K3"/>
  </mergeCells>
  <printOptions gridLines="1"/>
  <pageMargins left="0.7" right="0.7" top="0.75" bottom="0.75" header="0.3" footer="0.3"/>
  <pageSetup scale="88" fitToWidth="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Summary</vt:lpstr>
      <vt:lpstr>Electrcity Entry Form</vt:lpstr>
      <vt:lpstr>Nat. Gas Summary</vt:lpstr>
      <vt:lpstr>2020 Nat. Gas Entry Form</vt:lpstr>
      <vt:lpstr>2021 Nat. Gas Entry Form</vt:lpstr>
      <vt:lpstr>Nat. Gas Charts</vt:lpstr>
      <vt:lpstr>Propane</vt:lpstr>
      <vt:lpstr>Fleet Fuel</vt:lpstr>
      <vt:lpstr>Renewable Electricity</vt:lpstr>
      <vt:lpstr>Renewable.Connect 2021</vt:lpstr>
      <vt:lpstr>Renewable.Connect 2020</vt:lpstr>
      <vt:lpstr>Renewable.Connect 2019</vt:lpstr>
      <vt:lpstr>ChartCF</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Bailey</dc:creator>
  <cp:lastModifiedBy>William Bailey</cp:lastModifiedBy>
  <cp:lastPrinted>2022-08-26T19:12:15Z</cp:lastPrinted>
  <dcterms:created xsi:type="dcterms:W3CDTF">2020-01-22T12:06:34Z</dcterms:created>
  <dcterms:modified xsi:type="dcterms:W3CDTF">2022-08-30T22:48:09Z</dcterms:modified>
</cp:coreProperties>
</file>